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f568cbeb79a4e04" /></Relationships>
</file>

<file path=xl/workbook.xml><?xml version="1.0" encoding="utf-8"?>
<ns0:workbook xmlns:ns0="http://schemas.openxmlformats.org/spreadsheetml/2006/main" xmlns:ns1="http://schemas.openxmlformats.org/officeDocument/2006/relationships">
  <ns0:sheets>
    <ns0:sheet name="Budget" sheetId="1" ns1:id="R3b1e4e7024ca4529"/>
    <ns0:sheet name="Module" sheetId="2" ns1:id="R4c4b7f395cf24b07"/>
    <ns0:sheet name="Zukunftsideen" sheetId="3" ns1:id="R3c8714a1f3da4053"/>
    <ns0:sheet name="Eigene Ideen" sheetId="4" ns1:id="R0ac0a248e2844f54"/>
    <ns0:sheet name="Leistungskatalog" sheetId="5" ns1:id="Rf8604394426a4238"/>
    <ns0:sheet name="Methodik" sheetId="6" ns1:id="R753f776ad7014671"/>
  </ns0:sheets>
  <ns0:calcPr calcMode="auto" fullCalcOnLoad="1" forceFullCalc="1"/>
</ns0: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00"/>
    <x:numFmt numFmtId="201" formatCode="#,##0.00 &quot;€&quot;;(#,##0.00) &quot;€&quot;;&quot;–&quot;"/>
    <x:numFmt numFmtId="202" formatCode="0.0%"/>
    <x:numFmt numFmtId="203" formatCode="0"/>
  </x:numFmts>
  <x:fonts count="14">
    <x:font>
      <x:sz val="11"/>
      <x:name val="Carlito"/>
    </x:font>
    <x:font>
      <x:sz val="10"/>
      <x:color rgb="FF203746"/>
      <x:name val="Arial"/>
    </x:font>
    <x:font>
      <x:b/>
      <x:sz val="16"/>
      <x:color rgb="FF153447"/>
      <x:name val="Arial"/>
    </x:font>
    <x:font>
      <x:b/>
      <x:sz val="10"/>
      <x:color rgb="FFFFFFFF"/>
      <x:name val="Arial"/>
    </x:font>
    <x:font>
      <x:sz val="10"/>
      <x:color rgb="FF167048"/>
      <x:name val="Arial"/>
    </x:font>
    <x:font>
      <x:i/>
      <x:sz val="10"/>
      <x:color rgb="FF8A4610"/>
      <x:name val="Arial"/>
    </x:font>
    <x:font>
      <x:b/>
      <x:sz val="10"/>
      <x:color rgb="FF215DAB"/>
      <x:name val="Arial"/>
    </x:font>
    <x:font>
      <x:sz val="10"/>
      <x:color rgb="FF215DAB"/>
      <x:name val="Arial"/>
    </x:font>
    <x:font>
      <x:b/>
      <x:sz val="10"/>
      <x:color rgb="FF8A4610"/>
      <x:name val="Arial"/>
    </x:font>
    <x:font>
      <x:i/>
      <x:sz val="10"/>
      <x:color rgb="FF203746"/>
      <x:name val="Arial"/>
    </x:font>
    <x:font>
      <x:i/>
      <x:sz val="10"/>
      <x:color rgb="FF4E6572"/>
      <x:name val="Arial"/>
    </x:font>
    <x:font>
      <x:b/>
      <x:sz val="14"/>
      <x:color rgb="FFFFFFFF"/>
      <x:name val="Arial"/>
    </x:font>
    <x:font>
      <x:b/>
      <x:sz val="14"/>
      <x:color rgb="FF153447"/>
      <x:name val="Arial"/>
    </x:font>
    <x:font>
      <x:b/>
      <x:sz val="12"/>
      <x:color rgb="FF087F85"/>
      <x:name val="Arial"/>
    </x:font>
  </x:fonts>
  <x:fills count="8">
    <x:fill>
      <x:patternFill patternType="none"/>
    </x:fill>
    <x:fill>
      <x:patternFill patternType="gray125"/>
    </x:fill>
    <x:fill>
      <x:patternFill patternType="solid">
        <x:fgColor rgb="FF153447"/>
      </x:patternFill>
    </x:fill>
    <x:fill>
      <x:patternFill patternType="solid">
        <x:fgColor rgb="FFF4F7F8"/>
      </x:patternFill>
    </x:fill>
    <x:fill>
      <x:patternFill patternType="solid">
        <x:fgColor rgb="FFDDE7ED"/>
      </x:patternFill>
    </x:fill>
    <x:fill>
      <x:patternFill patternType="solid">
        <x:fgColor rgb="FFFFF0C2"/>
      </x:patternFill>
    </x:fill>
    <x:fill>
      <x:patternFill patternType="solid">
        <x:fgColor rgb="FFFFF4E6"/>
      </x:patternFill>
    </x:fill>
    <x:fill>
      <x:patternFill patternType="solid">
        <x:fgColor rgb="FFE5F2F1"/>
      </x:patternFill>
    </x:fill>
  </x:fills>
  <x:borders count="5">
    <x:border>
      <x:left/>
      <x:right/>
      <x:top/>
      <x:bottom/>
      <x:diagonal/>
    </x:border>
    <x:border>
      <x:left/>
      <x:right/>
      <x:top/>
      <x:bottom style="thin">
        <x:color rgb="FF087F85"/>
      </x:bottom>
      <x:diagonal/>
    </x:border>
    <x:border>
      <x:left/>
      <x:right/>
      <x:top/>
      <x:bottom style="thin">
        <x:color rgb="FFDCCDA5"/>
      </x:bottom>
      <x:diagonal/>
    </x:border>
    <x:border>
      <x:left/>
      <x:right style="thin">
        <x:color rgb="FFDCCDA5"/>
      </x:right>
      <x:top/>
      <x:bottom style="thin">
        <x:color rgb="FFDCCDA5"/>
      </x:bottom>
      <x:diagonal/>
    </x:border>
    <x:border>
      <x:left/>
      <x:right/>
      <x:top style="thin">
        <x:color rgb="FF8299A5"/>
      </x:top>
      <x:bottom/>
      <x:diagonal/>
    </x:border>
  </x:borders>
  <x:cellStyleXfs count="1">
    <x:xf numFmtId="0" fontId="0" fillId="0" borderId="0"/>
  </x:cellStyleXfs>
  <x:cellXfs count="57">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2" borderId="0" xfId="0" applyNumberFormat="1" applyFont="1" applyFill="1" applyBorder="1" applyAlignment="1">
      <x:alignment vertical="center"/>
    </x:xf>
    <x:xf numFmtId="0" fontId="3" fillId="2" borderId="0" xfId="0" applyNumberFormat="1" applyFont="1" applyFill="1" applyBorder="1" applyAlignment="1">
      <x:alignment vertical="center"/>
    </x:xf>
    <x:xf numFmtId="0" fontId="3" fillId="2" borderId="0" xfId="0" applyNumberFormat="1" applyFont="1" applyFill="1" applyBorder="1" applyAlignment="1">
      <x:alignment vertical="center" wrapText="1"/>
    </x:xf>
    <x:xf numFmtId="0" fontId="3" fillId="2" borderId="0" xfId="0" applyNumberFormat="1" applyFont="1" applyFill="1" applyBorder="1" applyAlignment="1">
      <x:alignment horizontal="center" vertical="center" wrapText="1"/>
    </x:xf>
    <x:xf numFmtId="0" fontId="1" fillId="3" borderId="0" xfId="0" applyNumberFormat="1" applyFont="1" applyFill="1" applyBorder="1" applyAlignment="1">
      <x:alignment vertical="center"/>
    </x:xf>
    <x:xf numFmtId="200" fontId="1" fillId="0" borderId="0" xfId="0" applyNumberFormat="1" applyFont="1" applyFill="1" applyBorder="1" applyAlignment="1">
      <x:alignment vertical="center"/>
    </x:xf>
    <x:xf numFmtId="201" fontId="1" fillId="0" borderId="0" xfId="0" applyNumberFormat="1" applyFont="1" applyFill="1" applyBorder="1" applyAlignment="1">
      <x:alignment vertical="center"/>
    </x:xf>
    <x:xf numFmtId="201" fontId="1" fillId="3" borderId="0" xfId="0" applyNumberFormat="1" applyFont="1" applyFill="1" applyBorder="1" applyAlignment="1">
      <x:alignment vertical="center"/>
    </x:xf>
    <x:xf numFmtId="0" fontId="1" fillId="3" borderId="0" xfId="0" applyNumberFormat="1" applyFont="1" applyFill="1" applyBorder="1" applyAlignment="1">
      <x:alignment vertical="center" wrapText="1"/>
    </x:xf>
    <x:xf numFmtId="201" fontId="1" fillId="3" borderId="0" xfId="0" applyNumberFormat="1" applyFont="1" applyFill="1" applyBorder="1" applyAlignment="1">
      <x:alignment vertical="center" wrapText="1"/>
    </x:xf>
    <x:xf numFmtId="0" fontId="1" fillId="0" borderId="0" xfId="0" applyNumberFormat="1" applyFont="1" applyFill="1" applyBorder="1" applyAlignment="1">
      <x:alignment vertical="center" wrapText="1"/>
    </x:xf>
    <x:xf numFmtId="201" fontId="1" fillId="0" borderId="0" xfId="0" applyNumberFormat="1" applyFont="1" applyFill="1" applyBorder="1" applyAlignment="1">
      <x:alignment vertical="center" wrapText="1"/>
    </x:xf>
    <x:xf numFmtId="0" fontId="1" fillId="3" borderId="0" xfId="0" applyNumberFormat="1" applyFont="1" applyFill="1" applyBorder="1" applyAlignment="1">
      <x:alignment vertical="top" wrapText="1"/>
    </x:xf>
    <x:xf numFmtId="0" fontId="1" fillId="0" borderId="0" xfId="0" applyNumberFormat="1" applyFont="1" applyFill="1" applyBorder="1" applyAlignment="1">
      <x:alignment vertical="top" wrapText="1"/>
    </x:xf>
    <x:xf numFmtId="0" fontId="4" fillId="0" borderId="0" xfId="0" applyNumberFormat="1" applyFont="1" applyFill="1" applyBorder="1" applyAlignment="1">
      <x:alignment vertical="center"/>
    </x:xf>
    <x:xf numFmtId="0" fontId="5" fillId="0" borderId="0" xfId="0" applyNumberFormat="1" applyFont="1" applyFill="1" applyBorder="1" applyAlignment="1">
      <x:alignment vertical="center"/>
    </x:xf>
    <x:xf numFmtId="0" fontId="1" fillId="4" borderId="0" xfId="0" applyNumberFormat="1" applyFont="1" applyFill="1" applyBorder="1" applyAlignment="1">
      <x:alignment vertical="center"/>
    </x:xf>
    <x:xf numFmtId="0" fontId="1" fillId="5" borderId="0" xfId="0" applyNumberFormat="1" applyFont="1" applyFill="1" applyBorder="1" applyAlignment="1">
      <x:alignment vertical="center"/>
    </x:xf>
    <x:xf numFmtId="0" fontId="6" fillId="5" borderId="0" xfId="0" applyNumberFormat="1" applyFont="1" applyFill="1" applyBorder="1" applyAlignment="1">
      <x:alignment vertical="center"/>
    </x:xf>
    <x:xf numFmtId="200" fontId="1" fillId="3" borderId="0" xfId="0" applyNumberFormat="1" applyFont="1" applyFill="1" applyBorder="1" applyAlignment="1">
      <x:alignment vertical="center"/>
    </x:xf>
    <x:xf numFmtId="0" fontId="4" fillId="3" borderId="0" xfId="0" applyNumberFormat="1" applyFont="1" applyFill="1" applyBorder="1" applyAlignment="1">
      <x:alignment vertical="center"/>
    </x:xf>
    <x:xf numFmtId="0" fontId="4" fillId="3" borderId="0" xfId="0" applyNumberFormat="1" applyFont="1" applyFill="1" applyBorder="1" applyAlignment="1">
      <x:alignment vertical="center" wrapText="1"/>
    </x:xf>
    <x:xf numFmtId="201" fontId="4" fillId="3" borderId="0" xfId="0" applyNumberFormat="1" applyFont="1" applyFill="1" applyBorder="1" applyAlignment="1">
      <x:alignment vertical="center"/>
    </x:xf>
    <x:xf numFmtId="0" fontId="4" fillId="0" borderId="0" xfId="0" applyNumberFormat="1" applyFont="1" applyFill="1" applyBorder="1" applyAlignment="1">
      <x:alignment vertical="center" wrapText="1"/>
    </x:xf>
    <x:xf numFmtId="201" fontId="4" fillId="0" borderId="0" xfId="0" applyNumberFormat="1" applyFont="1" applyFill="1" applyBorder="1" applyAlignment="1">
      <x:alignment vertical="center"/>
    </x:xf>
    <x:xf numFmtId="0" fontId="1" fillId="5" borderId="0" xfId="0" applyNumberFormat="1" applyFont="1" applyFill="1" applyBorder="1" applyAlignment="1">
      <x:alignment vertical="top" wrapText="1"/>
    </x:xf>
    <x:xf numFmtId="0" fontId="6" fillId="5" borderId="0" xfId="0" applyNumberFormat="1" applyFont="1" applyFill="1" applyBorder="1" applyAlignment="1">
      <x:alignment vertical="top" wrapText="1"/>
    </x:xf>
    <x:xf numFmtId="0" fontId="6" fillId="5" borderId="0" xfId="0" applyNumberFormat="1" applyFont="1" applyFill="1" applyBorder="1" applyAlignment="1">
      <x:alignment vertical="center" wrapText="1"/>
    </x:xf>
    <x:xf numFmtId="0" fontId="7" fillId="5" borderId="0" xfId="0" applyNumberFormat="1" applyFont="1" applyFill="1" applyBorder="1" applyAlignment="1">
      <x:alignment vertical="top" wrapText="1"/>
    </x:xf>
    <x:xf numFmtId="0" fontId="1" fillId="0" borderId="2" xfId="0" applyNumberFormat="1" applyFont="1" applyFill="1" applyBorder="1" applyAlignment="1">
      <x:alignment vertical="top" wrapText="1"/>
    </x:xf>
    <x:xf numFmtId="0" fontId="7" fillId="5" borderId="2" xfId="0" applyNumberFormat="1" applyFont="1" applyFill="1" applyBorder="1" applyAlignment="1">
      <x:alignment vertical="top" wrapText="1"/>
    </x:xf>
    <x:xf numFmtId="0" fontId="7" fillId="5" borderId="3" xfId="0" applyNumberFormat="1" applyFont="1" applyFill="1" applyBorder="1" applyAlignment="1">
      <x:alignment vertical="top" wrapText="1"/>
    </x:xf>
    <x:xf numFmtId="0" fontId="1" fillId="6" borderId="0" xfId="0" applyNumberFormat="1" applyFont="1" applyFill="1" applyBorder="1" applyAlignment="1">
      <x:alignment vertical="center"/>
    </x:xf>
    <x:xf numFmtId="0" fontId="8" fillId="6" borderId="0" xfId="0" applyNumberFormat="1" applyFont="1" applyFill="1" applyBorder="1" applyAlignment="1">
      <x:alignment vertical="center"/>
    </x:xf>
    <x:xf numFmtId="202" fontId="1" fillId="0" borderId="0" xfId="0" applyNumberFormat="1" applyFont="1" applyFill="1" applyBorder="1" applyAlignment="1">
      <x:alignment vertical="center"/>
    </x:xf>
    <x:xf numFmtId="202" fontId="1" fillId="5" borderId="0" xfId="0" applyNumberFormat="1" applyFont="1" applyFill="1" applyBorder="1" applyAlignment="1">
      <x:alignment vertical="center"/>
    </x:xf>
    <x:xf numFmtId="202" fontId="6" fillId="5" borderId="0" xfId="0" applyNumberFormat="1" applyFont="1" applyFill="1" applyBorder="1" applyAlignment="1">
      <x:alignment vertical="center"/>
    </x:xf>
    <x:xf numFmtId="0" fontId="9" fillId="0" borderId="0" xfId="0" applyNumberFormat="1" applyFont="1" applyFill="1" applyBorder="1" applyAlignment="1">
      <x:alignment vertical="center"/>
    </x:xf>
    <x:xf numFmtId="0" fontId="10" fillId="0" borderId="0" xfId="0" applyNumberFormat="1" applyFont="1" applyFill="1" applyBorder="1" applyAlignment="1">
      <x:alignment vertical="center"/>
    </x:xf>
    <x:xf numFmtId="201" fontId="1" fillId="2" borderId="0" xfId="0" applyNumberFormat="1" applyFont="1" applyFill="1" applyBorder="1" applyAlignment="1">
      <x:alignment vertical="center"/>
    </x:xf>
    <x:xf numFmtId="0" fontId="11" fillId="2" borderId="0" xfId="0" applyNumberFormat="1" applyFont="1" applyFill="1" applyBorder="1" applyAlignment="1">
      <x:alignment vertical="center"/>
    </x:xf>
    <x:xf numFmtId="201" fontId="11" fillId="2" borderId="0" xfId="0" applyNumberFormat="1" applyFont="1" applyFill="1" applyBorder="1" applyAlignment="1">
      <x:alignment vertical="center"/>
    </x:xf>
    <x:xf numFmtId="0" fontId="1" fillId="0" borderId="4" xfId="0" applyNumberFormat="1" applyFont="1" applyFill="1" applyBorder="1" applyAlignment="1">
      <x:alignment vertical="center"/>
    </x:xf>
    <x:xf numFmtId="201" fontId="1" fillId="0" borderId="4" xfId="0" applyNumberFormat="1" applyFont="1" applyFill="1" applyBorder="1" applyAlignment="1">
      <x:alignment vertical="center"/>
    </x:xf>
    <x:xf numFmtId="201" fontId="10" fillId="0" borderId="0" xfId="0" applyNumberFormat="1" applyFont="1" applyFill="1" applyBorder="1" applyAlignment="1">
      <x:alignment vertical="center"/>
    </x:xf>
    <x:xf numFmtId="0" fontId="12" fillId="0" borderId="0" xfId="0" applyNumberFormat="1" applyFont="1" applyFill="1" applyBorder="1" applyAlignment="1">
      <x:alignment vertical="center"/>
    </x:xf>
    <x:xf numFmtId="203" fontId="1" fillId="0" borderId="0" xfId="0" applyNumberFormat="1" applyFont="1" applyFill="1" applyBorder="1" applyAlignment="1">
      <x:alignment vertical="center"/>
    </x:xf>
    <x:xf numFmtId="0" fontId="1" fillId="7" borderId="0" xfId="0" applyNumberFormat="1" applyFont="1" applyFill="1" applyBorder="1" applyAlignment="1">
      <x:alignment vertical="center"/>
    </x:xf>
    <x:xf numFmtId="203" fontId="1" fillId="7" borderId="0" xfId="0" applyNumberFormat="1" applyFont="1" applyFill="1" applyBorder="1" applyAlignment="1">
      <x:alignment vertical="center"/>
    </x:xf>
    <x:xf numFmtId="0" fontId="13" fillId="7" borderId="0" xfId="0" applyNumberFormat="1" applyFont="1" applyFill="1" applyBorder="1" applyAlignment="1">
      <x:alignment vertical="center"/>
    </x:xf>
    <x:xf numFmtId="203" fontId="13" fillId="7" borderId="0" xfId="0" applyNumberFormat="1" applyFont="1" applyFill="1" applyBorder="1" applyAlignment="1">
      <x:alignment vertical="center"/>
    </x:xf>
    <x:xf numFmtId="0" fontId="8" fillId="0" borderId="0" xfId="0" applyNumberFormat="1" applyFont="1" applyFill="1" applyBorder="1" applyAlignment="1">
      <x:alignment vertical="center"/>
    </x:xf>
  </x:cellXfs>
  <x:cellStyles count="1">
    <x:cellStyle name="Normal" xfId="0"/>
  </x:cellStyles>
  <x:dxfs count="2">
    <x:dxf>
      <x:font>
        <x:b/>
        <x:color rgb="FF09655D"/>
      </x:font>
      <x:fill>
        <x:patternFill>
          <x:bgColor rgb="FFDFF1EE"/>
        </x:patternFill>
      </x:fill>
    </x:dxf>
    <x:dxf>
      <x:font>
        <x:b/>
        <x:color rgb="FF8A4610"/>
      </x:font>
      <x:fill>
        <x:patternFill>
          <x:bgColor rgb="FFFFE0C0"/>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07bebbdcf5fa4449" /><Relationship Type="http://schemas.openxmlformats.org/officeDocument/2006/relationships/theme" Target="/xl/theme/theme1.xml" Id="Re9388455db2c4d1f" /><Relationship Type="http://schemas.openxmlformats.org/officeDocument/2006/relationships/sharedStrings" Target="/xl/sharedStrings.xml" Id="R4e513e57b1d84ff4" /><Relationship Type="http://schemas.openxmlformats.org/officeDocument/2006/relationships/worksheet" Target="/xl/worksheets/sheet1.xml" Id="R3b1e4e7024ca4529" /><Relationship Type="http://schemas.openxmlformats.org/officeDocument/2006/relationships/worksheet" Target="/xl/worksheets/sheet2.xml" Id="R4c4b7f395cf24b07" /><Relationship Type="http://schemas.openxmlformats.org/officeDocument/2006/relationships/worksheet" Target="/xl/worksheets/sheet3.xml" Id="R3c8714a1f3da4053" /><Relationship Type="http://schemas.openxmlformats.org/officeDocument/2006/relationships/worksheet" Target="/xl/worksheets/sheet4.xml" Id="R0ac0a248e2844f54" /><Relationship Type="http://schemas.openxmlformats.org/officeDocument/2006/relationships/worksheet" Target="/xl/worksheets/sheet5.xml" Id="Rf8604394426a4238" /><Relationship Type="http://schemas.openxmlformats.org/officeDocument/2006/relationships/worksheet" Target="/xl/worksheets/sheet6.xml" Id="R753f776ad7014671" /></Relationships>
</file>

<file path=xl/tables/table1.xml><?xml version="1.0" encoding="utf-8"?>
<x:table xmlns:x="http://schemas.openxmlformats.org/spreadsheetml/2006/main" id="2" name="Modulauswahl" displayName="Modulauswahl" ref="A6:J41" headerRowCount="1" totalsRowCount="0" totalsRowShown="0">
  <x:tableColumns count="10">
    <x:tableColumn id="1" name="ID"/>
    <x:tableColumn id="2" name="Modul"/>
    <x:tableColumn id="3" name="Kategorie"/>
    <x:tableColumn id="4" name="Richtwert brutto"/>
    <x:tableColumn id="5" name="Ihre Auswahl"/>
    <x:tableColumn id="6" name="Enthalten"/>
    <x:tableColumn id="7" name="Gewählter Richtwert"/>
    <x:tableColumn id="8" name="Auswahlgrund"/>
    <x:tableColumn id="9" name="Voraussetzungen"/>
    <x:tableColumn id="10" name="Orientierungsmonat"/>
  </x:tableColumns>
  <x:tableStyleInfo name="TableStyleMedium2" showFirstColumn="0" showLastColumn="0" showRowStripes="1" showColumnStripes="0"/>
</x:table>
</file>

<file path=xl/tables/table2.xml><?xml version="1.0" encoding="utf-8"?>
<x:table xmlns:x="http://schemas.openxmlformats.org/spreadsheetml/2006/main" id="3" name="Zukunftsinteressen" displayName="Zukunftsinteressen" ref="A6:F17" headerRowCount="1" totalsRowCount="0" totalsRowShown="0">
  <x:tableColumns count="6">
    <x:tableColumn id="1" name="ID"/>
    <x:tableColumn id="2" name="Idee"/>
    <x:tableColumn id="3" name="Kurzbeschreibung"/>
    <x:tableColumn id="4" name="Interesse"/>
    <x:tableColumn id="5" name="Preis"/>
    <x:tableColumn id="6" name="Idee zur Besprechung"/>
  </x:tableColumns>
  <x:tableStyleInfo name="TableStyleMedium2" showFirstColumn="0" showLastColumn="0" showRowStripes="1" showColumnStripes="0"/>
</x:table>
</file>

<file path=xl/tables/table3.xml><?xml version="1.0" encoding="utf-8"?>
<x:table xmlns:x="http://schemas.openxmlformats.org/spreadsheetml/2006/main" id="1" name="Modulkatalog" displayName="Modulkatalog" ref="A6:J41" headerRowCount="1" totalsRowCount="0" totalsRowShown="0">
  <x:tableColumns count="10">
    <x:tableColumn id="1" name="ID"/>
    <x:tableColumn id="2" name="Modul"/>
    <x:tableColumn id="3" name="Kategorie"/>
    <x:tableColumn id="4" name="Regulärer Richtwert brutto"/>
    <x:tableColumn id="5" name="Kurzbeschreibung"/>
    <x:tableColumn id="6" name="Vorläufiger Leistungsumfang"/>
    <x:tableColumn id="7" name="Orientierungsmonat"/>
    <x:tableColumn id="8" name="Unsicherheit"/>
    <x:tableColumn id="9" name="Voraussetzungen"/>
    <x:tableColumn id="10" name="Laufend"/>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e9d85a693e7a4d48" /></Relationships>
</file>

<file path=xl/worksheets/_rels/sheet3.xml.rels>&#65279;<?xml version="1.0" encoding="utf-8"?><Relationships xmlns="http://schemas.openxmlformats.org/package/2006/relationships"><Relationship Type="http://schemas.openxmlformats.org/officeDocument/2006/relationships/table" Target="/xl/tables/table2.xml" Id="Rc522dfb358004772" /></Relationships>
</file>

<file path=xl/worksheets/_rels/sheet5.xml.rels>&#65279;<?xml version="1.0" encoding="utf-8"?><Relationships xmlns="http://schemas.openxmlformats.org/package/2006/relationships"><Relationship Type="http://schemas.openxmlformats.org/officeDocument/2006/relationships/table" Target="/xl/tables/table3.xml" Id="R48c0c7bb06f94f0a" /></Relationships>
</file>

<file path=xl/worksheets/sheet1.xml><?xml version="1.0" encoding="utf-8"?>
<x:worksheet xmlns:x="http://schemas.openxmlformats.org/spreadsheetml/2006/main">
  <x:sheetPr>
    <x:tabColor rgb="FF153447"/>
  </x:sheetPr>
  <x:sheetViews>
    <x:sheetView showGridLines="0" workbookViewId="0"/>
  </x:sheetViews>
  <x:sheetFormatPr defaultRowHeight="15"/>
  <x:cols>
    <x:col min="1" max="1" width="38" hidden="0" customWidth="1"/>
    <x:col min="2" max="2" width="25" hidden="0" customWidth="1"/>
    <x:col min="3" max="3" width="18" hidden="0" customWidth="1"/>
    <x:col min="4" max="4" width="18" hidden="0" customWidth="1"/>
    <x:col min="5" max="5" width="3" hidden="0" customWidth="1"/>
    <x:col min="6" max="6" width="32" hidden="0" customWidth="1"/>
    <x:col min="7" max="7" width="19" hidden="0" customWidth="1"/>
    <x:col min="8" max="8" width="10" hidden="0" customWidth="1"/>
  </x:cols>
  <x:sheetData>
    <x:row r="1" ht="23" customHeight="1">
      <x:c r="A1" s="2"/>
      <x:c r="B1" s="2"/>
      <x:c r="C1" s="2"/>
      <x:c r="D1" s="2"/>
      <x:c r="E1" s="2"/>
      <x:c r="F1" s="2"/>
      <x:c r="G1" s="2"/>
      <x:c r="H1" s="2"/>
    </x:row>
    <x:row r="2" ht="30" customHeight="1">
      <x:c r="A2" s="3" t="str">
        <x:v>ANGELNmachtSCHULE – Modulbudget</x:v>
      </x:c>
      <x:c r="B2" s="3"/>
      <x:c r="C2" s="3"/>
      <x:c r="D2" s="3"/>
      <x:c r="E2" s="3"/>
      <x:c r="F2" s="3"/>
      <x:c r="G2" s="3"/>
      <x:c r="H2" s="3"/>
    </x:row>
    <x:row r="3" ht="23" customHeight="1">
      <x:c r="A3" s="4"/>
      <x:c r="B3" s="4"/>
      <x:c r="C3" s="4"/>
      <x:c r="D3" s="4"/>
      <x:c r="E3" s="4"/>
      <x:c r="F3" s="4"/>
      <x:c r="G3" s="4"/>
      <x:c r="H3" s="4"/>
    </x:row>
    <x:row r="4" ht="28" customHeight="1">
      <x:c r="A4" s="38" t="str">
        <x:v>Grobe Kostenorientierung, kein verbindliches Angebot. Tiefe, Qualität und technischer Umfang bestimmen die spätere Kalkulation.</x:v>
      </x:c>
      <x:c r="B4" s="38"/>
      <x:c r="C4" s="38"/>
      <x:c r="D4" s="38"/>
      <x:c r="E4" s="38"/>
      <x:c r="F4" s="38"/>
      <x:c r="G4" s="38"/>
      <x:c r="H4" s="38"/>
    </x:row>
    <x:row r="5" ht="30" customHeight="1">
      <x:c r="A5" s="2" t="str">
        <x:v>Paket wählen</x:v>
      </x:c>
      <x:c r="B5" s="23" t="str">
        <x:v>Fundament</x:v>
      </x:c>
      <x:c r="C5" s="2"/>
      <x:c r="D5" s="2"/>
      <x:c r="E5" s="2"/>
      <x:c r="F5" s="8" t="str">
        <x:v>Paketreferenz</x:v>
      </x:c>
      <x:c r="G5" s="8" t="str">
        <x:v>Richtwert brutto</x:v>
      </x:c>
      <x:c r="H5" s="8" t="str">
        <x:v>Module</x:v>
      </x:c>
    </x:row>
    <x:row r="6" ht="23" customHeight="1">
      <x:c r="A6" s="2" t="str">
        <x:v>Paketnummer</x:v>
      </x:c>
      <x:c r="B6" s="2" t="n">
        <x:f>MATCH(B5,'Leistungskatalog'!$L$6:$O$6,0)</x:f>
        <x:v>1</x:v>
      </x:c>
      <x:c r="C6" s="2"/>
      <x:c r="D6" s="2"/>
      <x:c r="E6" s="2"/>
      <x:c r="F6" s="2" t="str">
        <x:v>Fundament</x:v>
      </x:c>
      <x:c r="G6" s="11" t="n">
        <x:f>SUMPRODUCT('Module'!$D$7:$D$41,'Leistungskatalog'!L7:L41)</x:f>
        <x:v>200000</x:v>
      </x:c>
      <x:c r="H6" s="2" t="n">
        <x:f>SUM('Leistungskatalog'!L7:L41)</x:f>
        <x:v>11</x:v>
      </x:c>
    </x:row>
    <x:row r="7" ht="23" customHeight="1">
      <x:c r="A7" s="2" t="str">
        <x:v>USt.-Annahme</x:v>
      </x:c>
      <x:c r="B7" s="39" t="n">
        <x:v>0.19</x:v>
      </x:c>
      <x:c r="C7" s="2"/>
      <x:c r="D7" s="2"/>
      <x:c r="E7" s="2"/>
      <x:c r="F7" s="2" t="str">
        <x:v>Good to have · Auswahl</x:v>
      </x:c>
      <x:c r="G7" s="11" t="n">
        <x:f>SUMPRODUCT('Module'!$D$7:$D$41,'Leistungskatalog'!M7:M41)</x:f>
        <x:v>280000</x:v>
      </x:c>
      <x:c r="H7" s="2" t="n">
        <x:f>SUM('Leistungskatalog'!M7:M41)</x:f>
        <x:v>17</x:v>
      </x:c>
    </x:row>
    <x:row r="8" ht="23" customHeight="1">
      <x:c r="A8" s="2" t="str">
        <x:v>Regulärer Tagessatz brutto</x:v>
      </x:c>
      <x:c r="B8" s="11" t="n">
        <x:v>960</x:v>
      </x:c>
      <x:c r="C8" s="2"/>
      <x:c r="D8" s="2"/>
      <x:c r="E8" s="2"/>
      <x:c r="F8" s="2" t="str">
        <x:v>Good to have · Komplett</x:v>
      </x:c>
      <x:c r="G8" s="11" t="n">
        <x:f>SUMPRODUCT('Module'!$D$7:$D$41,'Leistungskatalog'!N7:N41)</x:f>
        <x:v>364000</x:v>
      </x:c>
      <x:c r="H8" s="2" t="n">
        <x:f>SUM('Leistungskatalog'!N7:N41)</x:f>
        <x:v>27</x:v>
      </x:c>
    </x:row>
    <x:row r="9" ht="23" customHeight="1">
      <x:c r="A9" s="2" t="str">
        <x:v>Rabatt (Vergleich möglich)</x:v>
      </x:c>
      <x:c r="B9" s="41" t="n">
        <x:v>0.2</x:v>
      </x:c>
      <x:c r="C9" s="2"/>
      <x:c r="D9" s="2"/>
      <x:c r="E9" s="2"/>
      <x:c r="F9" s="2" t="str">
        <x:v>Nice to have · Auswahl</x:v>
      </x:c>
      <x:c r="G9" s="11" t="n">
        <x:f>SUMPRODUCT('Module'!$D$7:$D$41,'Leistungskatalog'!O7:O41)</x:f>
        <x:v>400000</x:v>
      </x:c>
      <x:c r="H9" s="2" t="n">
        <x:f>SUM('Leistungskatalog'!O7:O41)</x:f>
        <x:v>32</x:v>
      </x:c>
    </x:row>
    <x:row r="10" ht="23" customHeight="1">
      <x:c r="A10" s="2" t="str">
        <x:v>Tagessatz nach Rabatt brutto</x:v>
      </x:c>
      <x:c r="B10" s="11" t="n">
        <x:f>IF(AND(ISNUMBER(B9),B9&gt;=0,B9&lt;=0.3),ROUND(B8*(1-B9),2),NA())</x:f>
        <x:v>768</x:v>
      </x:c>
      <x:c r="C10" s="2"/>
      <x:c r="D10" s="2"/>
      <x:c r="E10" s="2"/>
      <x:c r="F10" s="43" t="str">
        <x:v>Ziel: mobile Hauptapp im Ganztagsangebot</x:v>
      </x:c>
      <x:c r="G10" s="49"/>
      <x:c r="H10" s="43"/>
    </x:row>
    <x:row r="11" ht="23" customHeight="1">
      <x:c r="A11" s="42" t="str">
        <x:v>Paket und Rabatt wählen. Im Blatt „Module“ gelbe Auswahlfelder ändern.</x:v>
      </x:c>
      <x:c r="B11" s="2"/>
      <x:c r="C11" s="2"/>
      <x:c r="D11" s="2"/>
      <x:c r="E11" s="2"/>
      <x:c r="F11" s="43" t="str">
        <x:v>Plattformbudgets im Zielworkshop zuordnen.</x:v>
      </x:c>
      <x:c r="G11" s="49"/>
      <x:c r="H11" s="43"/>
    </x:row>
    <x:row r="12" ht="23" customHeight="1">
      <x:c r="A12" s="43" t="str">
        <x:v>Fragen zum Fundament? Unklare Komponenten oder Missverständnisse klären wir gemeinsam.</x:v>
      </x:c>
      <x:c r="B12" s="2"/>
      <x:c r="C12" s="2"/>
      <x:c r="D12" s="2"/>
      <x:c r="E12" s="2"/>
      <x:c r="F12" s="2"/>
      <x:c r="G12" s="2"/>
      <x:c r="H12" s="2"/>
    </x:row>
    <x:row r="13" ht="30" customHeight="1">
      <x:c r="A13" s="8" t="str">
        <x:v>Grobe Kostenschätzung</x:v>
      </x:c>
      <x:c r="B13" s="8" t="str">
        <x:v>Aktuelle Auswahl</x:v>
      </x:c>
      <x:c r="C13" s="2"/>
      <x:c r="D13" s="2"/>
      <x:c r="E13" s="2"/>
      <x:c r="F13" s="8" t="str">
        <x:v>Kategorie</x:v>
      </x:c>
      <x:c r="G13" s="8" t="str">
        <x:v>Richtwert brutto</x:v>
      </x:c>
      <x:c r="H13" s="8" t="str">
        <x:v>Module</x:v>
      </x:c>
    </x:row>
    <x:row r="14" ht="23" customHeight="1">
      <x:c r="A14" s="2" t="str">
        <x:v>Reguläre Richtwerte brutto</x:v>
      </x:c>
      <x:c r="B14" s="11" t="n">
        <x:f>SUM('Module'!R7:R41)</x:f>
        <x:v>250000</x:v>
      </x:c>
      <x:c r="C14" s="2"/>
      <x:c r="D14" s="2"/>
      <x:c r="E14" s="2"/>
      <x:c r="F14" s="2" t="str">
        <x:v>Fundament</x:v>
      </x:c>
      <x:c r="G14" s="11" t="n">
        <x:f>SUMIFS('Module'!$G$7:$G$41,'Module'!$C$7:$C$41,F14)</x:f>
        <x:v>200000</x:v>
      </x:c>
      <x:c r="H14" s="2" t="n">
        <x:f>COUNTIFS('Module'!$C$7:$C$41,F14,'Module'!$F$7:$F$41,"Ja")</x:f>
        <x:v>11</x:v>
      </x:c>
    </x:row>
    <x:row r="15" ht="23" customHeight="1">
      <x:c r="A15" s="2" t="str">
        <x:v>Langzeitrabatt brutto</x:v>
      </x:c>
      <x:c r="B15" s="11" t="n">
        <x:f>SUM('Module'!S7:S41)</x:f>
        <x:v>50000</x:v>
      </x:c>
      <x:c r="C15" s="2"/>
      <x:c r="D15" s="2"/>
      <x:c r="E15" s="2"/>
      <x:c r="F15" s="2" t="str">
        <x:v>Good to have</x:v>
      </x:c>
      <x:c r="G15" s="11" t="n">
        <x:f>SUMIFS('Module'!$G$7:$G$41,'Module'!$C$7:$C$41,F15)</x:f>
        <x:v>0</x:v>
      </x:c>
      <x:c r="H15" s="2" t="n">
        <x:f>COUNTIFS('Module'!$C$7:$C$41,F15,'Module'!$F$7:$F$41,"Ja")</x:f>
        <x:v>0</x:v>
      </x:c>
    </x:row>
    <x:row r="16" ht="33" customHeight="1">
      <x:c r="A16" s="45" t="str">
        <x:v>Gesamtrichtwert brutto</x:v>
      </x:c>
      <x:c r="B16" s="46" t="n">
        <x:f>SUM('Module'!G7:G41)</x:f>
        <x:v>200000</x:v>
      </x:c>
      <x:c r="C16" s="2"/>
      <x:c r="D16" s="2"/>
      <x:c r="E16" s="2"/>
      <x:c r="F16" s="2" t="str">
        <x:v>Nice to have</x:v>
      </x:c>
      <x:c r="G16" s="11" t="n">
        <x:f>SUMIFS('Module'!$G$7:$G$41,'Module'!$C$7:$C$41,F16)</x:f>
        <x:v>0</x:v>
      </x:c>
      <x:c r="H16" s="2" t="n">
        <x:f>COUNTIFS('Module'!$C$7:$C$41,F16,'Module'!$F$7:$F$41,"Ja")</x:f>
        <x:v>0</x:v>
      </x:c>
    </x:row>
    <x:row r="17" ht="23" customHeight="1">
      <x:c r="A17" s="2" t="str">
        <x:v>Nettorichtwert nach Rabatt</x:v>
      </x:c>
      <x:c r="B17" s="11" t="n">
        <x:f>ROUND(B16/(1+B7),2)</x:f>
        <x:v>168067.23</x:v>
      </x:c>
      <x:c r="C17" s="2"/>
      <x:c r="D17" s="2"/>
      <x:c r="E17" s="2"/>
      <x:c r="F17" s="2"/>
      <x:c r="G17" s="11"/>
      <x:c r="H17" s="2"/>
    </x:row>
    <x:row r="18" ht="23" customHeight="1">
      <x:c r="A18" s="2" t="str">
        <x:v>Enthaltene USt.</x:v>
      </x:c>
      <x:c r="B18" s="11" t="n">
        <x:f>ROUND(B16-B17,2)</x:f>
        <x:v>31932.77</x:v>
      </x:c>
      <x:c r="C18" s="2"/>
      <x:c r="D18" s="2"/>
      <x:c r="E18" s="2"/>
      <x:c r="F18" s="2" t="str">
        <x:v>Referenz bei 3 Jahren: 200.000–400.000 € brutto.</x:v>
      </x:c>
      <x:c r="G18" s="2"/>
      <x:c r="H18" s="2"/>
    </x:row>
    <x:row r="19" ht="23" customHeight="1">
      <x:c r="A19" s="2" t="str">
        <x:v>Ausgewählte Module</x:v>
      </x:c>
      <x:c r="B19" s="2" t="n">
        <x:f>COUNTIFS('Module'!F7:F41,"Ja")</x:f>
        <x:v>11</x:v>
      </x:c>
      <x:c r="C19" s="2"/>
      <x:c r="D19" s="2"/>
      <x:c r="E19" s="2"/>
      <x:c r="F19" s="2" t="str">
        <x:f>IF(B9=0.2,"Budgetbasis: 3 Jahre / 20 % Rabatt.","Vergleich: Ziele, Umfang und Laufzeit neu abstimmen.")</x:f>
        <x:v>Budgetbasis: 3 Jahre / 20 % Rabatt.</x:v>
      </x:c>
      <x:c r="G19" s="2"/>
      <x:c r="H19" s="2"/>
    </x:row>
    <x:row r="20" ht="23" customHeight="1">
      <x:c r="A20" s="2" t="str">
        <x:v>Davon automatisch ergänzt</x:v>
      </x:c>
      <x:c r="B20" s="2" t="n">
        <x:f>COUNTIFS('Module'!H7:H41,"Automatisch: Voraussetzung")</x:f>
        <x:v>0</x:v>
      </x:c>
      <x:c r="C20" s="2"/>
      <x:c r="D20" s="2"/>
      <x:c r="E20" s="2"/>
      <x:c r="F20" s="2" t="str">
        <x:v>1 Jahr: 5 % / 912 €; 2 Jahre: 10 % / 864 €.</x:v>
      </x:c>
      <x:c r="G20" s="2"/>
      <x:c r="H20" s="2"/>
    </x:row>
    <x:row r="21" ht="23" customHeight="1">
      <x:c r="A21" s="2" t="str">
        <x:v>Richtwert dafür (enthalten)</x:v>
      </x:c>
      <x:c r="B21" s="11" t="n">
        <x:f>SUMIFS('Module'!G7:G41,'Module'!H7:H41,"Automatisch: Voraussetzung")</x:f>
        <x:v>0</x:v>
      </x:c>
      <x:c r="C21" s="2"/>
      <x:c r="D21" s="2"/>
      <x:c r="E21" s="2"/>
      <x:c r="F21" s="2" t="str">
        <x:v>Mischkosten-Richtwerte: rechnerisch unverändert.</x:v>
      </x:c>
      <x:c r="G21" s="2"/>
      <x:c r="H21" s="2"/>
    </x:row>
    <x:row r="22" ht="23" customHeight="1">
      <x:c r="A22" s="2" t="str">
        <x:v>Zusatz über Fundament</x:v>
      </x:c>
      <x:c r="B22" s="11" t="n">
        <x:f>B16-B24</x:f>
        <x:v>0</x:v>
      </x:c>
      <x:c r="C22" s="2"/>
      <x:c r="D22" s="2"/>
      <x:c r="E22" s="2"/>
      <x:c r="F22" s="2" t="str">
        <x:v>B9 erlaubt 0–30 % für Vergleichsrechnungen.</x:v>
      </x:c>
      <x:c r="G22" s="2"/>
      <x:c r="H22" s="2"/>
    </x:row>
    <x:row r="23" ht="23" customHeight="1">
      <x:c r="A23" s="2" t="str">
        <x:v>Zum Referenzpaket</x:v>
      </x:c>
      <x:c r="B23" s="11" t="n">
        <x:f>B16-INDEX(G6:G9,B6)</x:f>
        <x:v>0</x:v>
      </x:c>
      <x:c r="C23" s="2"/>
      <x:c r="D23" s="2"/>
      <x:c r="E23" s="2"/>
      <x:c r="F23" s="2" t="str">
        <x:v>Details und Quellen: Blatt „Methodik“</x:v>
      </x:c>
      <x:c r="G23" s="2"/>
      <x:c r="H23" s="2"/>
    </x:row>
    <x:row r="24" ht="23" customHeight="1">
      <x:c r="A24" s="47" t="str">
        <x:v>Fundament (Orientierung)</x:v>
      </x:c>
      <x:c r="B24" s="48" t="n">
        <x:f>SUMIFS('Module'!G7:G41,'Module'!C7:C41,"Fundament")</x:f>
        <x:v>200000</x:v>
      </x:c>
      <x:c r="C24" s="2"/>
      <x:c r="D24" s="2"/>
      <x:c r="E24" s="2"/>
      <x:c r="F24" s="2" t="str">
        <x:v>Module und Gesamtpreis können sich im Workshop ändern.</x:v>
      </x:c>
      <x:c r="G24" s="2"/>
      <x:c r="H24" s="2"/>
    </x:row>
    <x:row r="25" ht="23" customHeight="1">
      <x:c r="A25" s="2"/>
      <x:c r="B25" s="2"/>
      <x:c r="C25" s="2"/>
      <x:c r="D25" s="2"/>
      <x:c r="E25" s="2"/>
      <x:c r="F25" s="2" t="str">
        <x:v>Vorgemerkte Zukunftsideen</x:v>
      </x:c>
      <x:c r="G25" s="2" t="n">
        <x:f>COUNTIFS('Zukunftsideen'!D7:D17,"Ja")</x:f>
        <x:v>0</x:v>
      </x:c>
      <x:c r="H25" s="2"/>
    </x:row>
    <x:row r="26" ht="23" customHeight="1">
      <x:c r="A26" s="2"/>
      <x:c r="B26" s="2"/>
      <x:c r="C26" s="2"/>
      <x:c r="D26" s="2"/>
      <x:c r="E26" s="2"/>
      <x:c r="F26" s="2" t="str">
        <x:v>Ohne Auftrag, Budget oder Liefertermin.</x:v>
      </x:c>
      <x:c r="G26" s="2"/>
      <x:c r="H26" s="2"/>
    </x:row>
    <x:row r="27" ht="30" customHeight="1">
      <x:c r="A27" s="50" t="str">
        <x:v>Zeitübersicht zur Auswahl</x:v>
      </x:c>
      <x:c r="B27" s="50"/>
      <x:c r="C27" s="50"/>
      <x:c r="D27" s="50"/>
      <x:c r="E27" s="2"/>
      <x:c r="F27" s="8" t="str">
        <x:v>Rechengrundlage</x:v>
      </x:c>
      <x:c r="G27" s="8" t="str">
        <x:v>Aktuelle Auswahl</x:v>
      </x:c>
      <x:c r="H27" s="2"/>
    </x:row>
    <x:row r="28" ht="28" customHeight="1">
      <x:c r="A28" s="52" t="str">
        <x:v>Entwicklungsspanne</x:v>
      </x:c>
      <x:c r="B28" s="54" t="str">
        <x:f>IF(B29=B30,"ca. "&amp;B29&amp;" Monate",B29&amp;"–"&amp;B30&amp;" Monate")</x:f>
        <x:v>18–24 Monate</x:v>
      </x:c>
      <x:c r="C28" s="2"/>
      <x:c r="D28" s="2"/>
      <x:c r="E28" s="2"/>
      <x:c r="F28" s="15" t="str">
        <x:v>Zeitgewicht der Auswahl</x:v>
      </x:c>
      <x:c r="G28" s="10" t="n">
        <x:f>SUM('Module'!U7:U41)</x:f>
        <x:v>172</x:v>
      </x:c>
      <x:c r="H28" s="2"/>
    </x:row>
    <x:row r="29" ht="28" customHeight="1">
      <x:c r="A29" s="52" t="str">
        <x:v>Untere Orientierung (Monate)</x:v>
      </x:c>
      <x:c r="B29" s="55" t="n">
        <x:f>MAX(18,ROUNDDOWN(G36+0.0000000001,0))</x:f>
        <x:v>18</x:v>
      </x:c>
      <x:c r="C29" s="2"/>
      <x:c r="D29" s="2"/>
      <x:c r="E29" s="2"/>
      <x:c r="F29" s="15" t="str">
        <x:v>Vergleichsintervall</x:v>
      </x:c>
      <x:c r="G29" s="51" t="n">
        <x:f>MIN(3,MAX(1,IFERROR(MATCH(G28,'Methodik'!$B$51:$B$54,1),1)))</x:f>
        <x:v>1</x:v>
      </x:c>
      <x:c r="H29" s="2"/>
    </x:row>
    <x:row r="30" ht="28" customHeight="1">
      <x:c r="A30" s="52" t="str">
        <x:v>Obere Orientierung (Monate)</x:v>
      </x:c>
      <x:c r="B30" s="55" t="n">
        <x:f>MAX(B29,ROUNDUP(G37-0.0000000001,0))</x:f>
        <x:v>24</x:v>
      </x:c>
      <x:c r="C30" s="2"/>
      <x:c r="D30" s="2"/>
      <x:c r="E30" s="2"/>
      <x:c r="F30" s="15" t="str">
        <x:v>Unterer Gewichtsanker</x:v>
      </x:c>
      <x:c r="G30" s="10" t="n">
        <x:f>INDEX('Methodik'!$B$51:$B$54,G29)</x:f>
        <x:v>172</x:v>
      </x:c>
      <x:c r="H30" s="2"/>
    </x:row>
    <x:row r="31" ht="28" customHeight="1">
      <x:c r="A31" s="56" t="str">
        <x:v>Playtesting &amp; Maintenance: zusätzlich, Dauer offen.</x:v>
      </x:c>
      <x:c r="B31" s="2"/>
      <x:c r="C31" s="2"/>
      <x:c r="D31" s="2"/>
      <x:c r="E31" s="2"/>
      <x:c r="F31" s="15" t="str">
        <x:v>Oberer Gewichtsanker</x:v>
      </x:c>
      <x:c r="G31" s="10" t="n">
        <x:f>INDEX('Methodik'!$B$51:$B$54,G29+1)</x:f>
        <x:v>252</x:v>
      </x:c>
      <x:c r="H31" s="2"/>
    </x:row>
    <x:row r="32" ht="28" customHeight="1">
      <x:c r="A32" s="2" t="str">
        <x:v>Keine festgelegte Gesamtprojektlaufzeit.</x:v>
      </x:c>
      <x:c r="B32" s="2"/>
      <x:c r="C32" s="2"/>
      <x:c r="D32" s="2"/>
      <x:c r="E32" s="2"/>
      <x:c r="F32" s="15" t="str">
        <x:v>Untere Monatsgrenze am Start</x:v>
      </x:c>
      <x:c r="G32" s="10" t="n">
        <x:f>INDEX('Methodik'!$C$51:$C$54,G29)</x:f>
        <x:v>18</x:v>
      </x:c>
      <x:c r="H32" s="2"/>
    </x:row>
    <x:row r="33" ht="28" customHeight="1">
      <x:c r="A33" s="2"/>
      <x:c r="B33" s="2"/>
      <x:c r="C33" s="2"/>
      <x:c r="D33" s="2"/>
      <x:c r="E33" s="2"/>
      <x:c r="F33" s="15" t="str">
        <x:v>Untere Monatsgrenze am Ende</x:v>
      </x:c>
      <x:c r="G33" s="10" t="n">
        <x:f>INDEX('Methodik'!$C$51:$C$54,G29+1)</x:f>
        <x:v>24</x:v>
      </x:c>
      <x:c r="H33" s="2"/>
    </x:row>
    <x:row r="34" ht="28" customHeight="1">
      <x:c r="A34" s="43" t="str">
        <x:v>Freie Auswahl: Entwicklungsspanne aus vorläufigen Planungswerten.</x:v>
      </x:c>
      <x:c r="B34" s="43"/>
      <x:c r="C34" s="43"/>
      <x:c r="D34" s="43"/>
      <x:c r="E34" s="43"/>
      <x:c r="F34" s="15" t="str">
        <x:v>Obere Monatsgrenze am Start</x:v>
      </x:c>
      <x:c r="G34" s="10" t="n">
        <x:f>INDEX('Methodik'!$D$51:$D$54,G29)</x:f>
        <x:v>24</x:v>
      </x:c>
      <x:c r="H34" s="2"/>
    </x:row>
    <x:row r="35" ht="28" customHeight="1">
      <x:c r="A35" s="43" t="str">
        <x:v>Gewichte dienen der Interpolation, nicht einer Stundenschätzung.</x:v>
      </x:c>
      <x:c r="B35" s="43"/>
      <x:c r="C35" s="43"/>
      <x:c r="D35" s="43"/>
      <x:c r="E35" s="43"/>
      <x:c r="F35" s="15" t="str">
        <x:v>Obere Monatsgrenze am Ende</x:v>
      </x:c>
      <x:c r="G35" s="10" t="n">
        <x:f>INDEX('Methodik'!$D$51:$D$54,G29+1)</x:f>
        <x:v>24</x:v>
      </x:c>
      <x:c r="H35" s="2"/>
    </x:row>
    <x:row r="36" ht="28" customHeight="1">
      <x:c r="A36" s="43" t="str">
        <x:v>Mischkostentöpfe sind in der Gewichtung enthalten.</x:v>
      </x:c>
      <x:c r="B36" s="43"/>
      <x:c r="C36" s="43"/>
      <x:c r="D36" s="43"/>
      <x:c r="E36" s="43"/>
      <x:c r="F36" s="15" t="str">
        <x:v>Interpolierte Untergrenze</x:v>
      </x:c>
      <x:c r="G36" s="10" t="n">
        <x:f>MAX(18,G32+(G28-G30)/(G31-G30)*(G33-G32))</x:f>
        <x:v>18</x:v>
      </x:c>
      <x:c r="H36" s="2"/>
    </x:row>
    <x:row r="37" ht="28" customHeight="1">
      <x:c r="A37" s="43" t="str">
        <x:v>Bisheriger Pflege-Richtwert bis Monat 36 bleibt als Rechenwert.</x:v>
      </x:c>
      <x:c r="B37" s="43"/>
      <x:c r="C37" s="43"/>
      <x:c r="D37" s="43"/>
      <x:c r="E37" s="43"/>
      <x:c r="F37" s="15" t="str">
        <x:v>Interpolierte Obergrenze</x:v>
      </x:c>
      <x:c r="G37" s="10" t="n">
        <x:f>MAX(G36,G34+(G28-G30)/(G31-G30)*(G35-G34))</x:f>
        <x:v>24</x:v>
      </x:c>
      <x:c r="H37" s="2"/>
    </x:row>
    <x:row r="38" ht="28" customHeight="1">
      <x:c r="A38" s="43" t="str">
        <x:v>Verlängerung und zusätzlichen Umfang gemeinsam abstimmen.</x:v>
      </x:c>
      <x:c r="B38" s="43"/>
      <x:c r="C38" s="43"/>
      <x:c r="D38" s="43"/>
      <x:c r="E38" s="43"/>
      <x:c r="F38" s="15" t="str">
        <x:v>Referenzwerte: Methodik, Zeilen 50–54.</x:v>
      </x:c>
      <x:c r="G38" s="2"/>
      <x:c r="H38" s="2"/>
    </x:row>
    <x:row r="39" ht="28" customHeight="1">
      <x:c r="A39" s="43" t="str">
        <x:v>Rabatt, eigene Ideen und Zukunftsideen verändern die Spanne nicht.</x:v>
      </x:c>
      <x:c r="B39" s="43"/>
      <x:c r="C39" s="43"/>
      <x:c r="D39" s="43"/>
      <x:c r="E39" s="43"/>
      <x:c r="F39" s="15" t="str">
        <x:v>Gewicht = Basiswerte / 1.000.</x:v>
      </x:c>
      <x:c r="G39" s="2"/>
      <x:c r="H39" s="2"/>
    </x:row>
    <x:row r="40" ht="23" customHeight="1">
      <x:c r="A40" s="2"/>
      <x:c r="B40" s="2"/>
      <x:c r="C40" s="2"/>
      <x:c r="D40" s="2"/>
      <x:c r="E40" s="2"/>
      <x:c r="F40" s="2"/>
      <x:c r="G40" s="2"/>
      <x:c r="H40" s="2"/>
    </x:row>
    <x:row r="41" ht="23" customHeight="1">
      <x:c r="A41" s="50" t="str">
        <x:v>Aktuelle Modulauswahl</x:v>
      </x:c>
      <x:c r="B41" s="2"/>
      <x:c r="C41" s="2"/>
      <x:c r="D41" s="2"/>
      <x:c r="E41" s="2"/>
      <x:c r="F41" s="2"/>
      <x:c r="G41" s="2"/>
      <x:c r="H41" s="2"/>
    </x:row>
    <x:row r="42" ht="40" customHeight="1">
      <x:c r="A42" s="8" t="str">
        <x:v>Modul</x:v>
      </x:c>
      <x:c r="B42" s="8" t="str">
        <x:v>Kategorie</x:v>
      </x:c>
      <x:c r="C42" s="8" t="str">
        <x:v>Richtwert brutto</x:v>
      </x:c>
      <x:c r="D42" s="8" t="str">
        <x:v>Orientierungsmonat</x:v>
      </x:c>
      <x:c r="E42" s="2" t="str"/>
      <x:c r="F42" s="8" t="str">
        <x:v>Auswahlgrund</x:v>
      </x:c>
      <x:c r="G42" s="8" t="str"/>
      <x:c r="H42" s="8" t="str"/>
    </x:row>
    <x:row r="43" ht="32" customHeight="1">
      <x:c r="A43" s="13" t="str">
        <x:f>IF(1&lt;=$B$19,INDEX('Module'!$B$7:$B$41,MATCH(1,'Module'!$L$7:$L$41,0)),"")</x:f>
        <x:v>Spielbarer Lernkern</x:v>
      </x:c>
      <x:c r="B43" s="13" t="str">
        <x:f>IF(1&lt;=$B$19,INDEX('Module'!$C$7:$C$41,MATCH(1,'Module'!$L$7:$L$41,0)),"")</x:f>
        <x:v>Fundament</x:v>
      </x:c>
      <x:c r="C43" s="12" t="n">
        <x:f>IF(1&lt;=$B$19,INDEX('Module'!$G$7:$G$41,MATCH(1,'Module'!$L$7:$L$41,0)),"")</x:f>
        <x:v>30000</x:v>
      </x:c>
      <x:c r="D43" s="9" t="n">
        <x:f>IF(1&lt;=$B$19,INDEX('Module'!$J$7:$J$41,MATCH(1,'Module'!$L$7:$L$41,0)),"")</x:f>
        <x:v>6</x:v>
      </x:c>
      <x:c r="E43" s="2"/>
      <x:c r="F43" s="9" t="str">
        <x:f>IF(1&lt;=$B$19,INDEX('Module'!$H$7:$H$41,MATCH(1,'Module'!$L$7:$L$41,0)),"")</x:f>
        <x:v>Fester Projektkern</x:v>
      </x:c>
      <x:c r="G43" s="9"/>
      <x:c r="H43" s="9"/>
    </x:row>
    <x:row r="44" ht="32" customHeight="1">
      <x:c r="A44" s="15" t="str">
        <x:f>IF(2&lt;=$B$19,INDEX('Module'!$B$7:$B$41,MATCH(2,'Module'!$L$7:$L$41,0)),"")</x:f>
        <x:v>6 regionale Lernorte</x:v>
      </x:c>
      <x:c r="B44" s="15" t="str">
        <x:f>IF(2&lt;=$B$19,INDEX('Module'!$C$7:$C$41,MATCH(2,'Module'!$L$7:$L$41,0)),"")</x:f>
        <x:v>Fundament</x:v>
      </x:c>
      <x:c r="C44" s="11" t="n">
        <x:f>IF(2&lt;=$B$19,INDEX('Module'!$G$7:$G$41,MATCH(2,'Module'!$L$7:$L$41,0)),"")</x:f>
        <x:v>38000</x:v>
      </x:c>
      <x:c r="D44" s="2" t="n">
        <x:f>IF(2&lt;=$B$19,INDEX('Module'!$J$7:$J$41,MATCH(2,'Module'!$L$7:$L$41,0)),"")</x:f>
        <x:v>12</x:v>
      </x:c>
      <x:c r="E44" s="2"/>
      <x:c r="F44" s="2" t="str">
        <x:f>IF(2&lt;=$B$19,INDEX('Module'!$H$7:$H$41,MATCH(2,'Module'!$L$7:$L$41,0)),"")</x:f>
        <x:v>Fester Projektkern</x:v>
      </x:c>
      <x:c r="G44" s="2"/>
      <x:c r="H44" s="2"/>
    </x:row>
    <x:row r="45" ht="32" customHeight="1">
      <x:c r="A45" s="13" t="str">
        <x:f>IF(3&lt;=$B$19,INDEX('Module'!$B$7:$B$41,MATCH(3,'Module'!$L$7:$L$41,0)),"")</x:f>
        <x:v>Fische &amp; Fischlexikon</x:v>
      </x:c>
      <x:c r="B45" s="13" t="str">
        <x:f>IF(3&lt;=$B$19,INDEX('Module'!$C$7:$C$41,MATCH(3,'Module'!$L$7:$L$41,0)),"")</x:f>
        <x:v>Fundament</x:v>
      </x:c>
      <x:c r="C45" s="12" t="n">
        <x:f>IF(3&lt;=$B$19,INDEX('Module'!$G$7:$G$41,MATCH(3,'Module'!$L$7:$L$41,0)),"")</x:f>
        <x:v>14000</x:v>
      </x:c>
      <x:c r="D45" s="9" t="n">
        <x:f>IF(3&lt;=$B$19,INDEX('Module'!$J$7:$J$41,MATCH(3,'Module'!$L$7:$L$41,0)),"")</x:f>
        <x:v>12</x:v>
      </x:c>
      <x:c r="E45" s="2"/>
      <x:c r="F45" s="9" t="str">
        <x:f>IF(3&lt;=$B$19,INDEX('Module'!$H$7:$H$41,MATCH(3,'Module'!$L$7:$L$41,0)),"")</x:f>
        <x:v>Fester Projektkern</x:v>
      </x:c>
      <x:c r="G45" s="9"/>
      <x:c r="H45" s="9"/>
    </x:row>
    <x:row r="46" ht="32" customHeight="1">
      <x:c r="A46" s="15" t="str">
        <x:f>IF(4&lt;=$B$19,INDEX('Module'!$B$7:$B$41,MATCH(4,'Module'!$L$7:$L$41,0)),"")</x:f>
        <x:v>Angelbuch &amp; Prüfungsvorbereitung</x:v>
      </x:c>
      <x:c r="B46" s="15" t="str">
        <x:f>IF(4&lt;=$B$19,INDEX('Module'!$C$7:$C$41,MATCH(4,'Module'!$L$7:$L$41,0)),"")</x:f>
        <x:v>Fundament</x:v>
      </x:c>
      <x:c r="C46" s="11" t="n">
        <x:f>IF(4&lt;=$B$19,INDEX('Module'!$G$7:$G$41,MATCH(4,'Module'!$L$7:$L$41,0)),"")</x:f>
        <x:v>24000</x:v>
      </x:c>
      <x:c r="D46" s="2" t="n">
        <x:f>IF(4&lt;=$B$19,INDEX('Module'!$J$7:$J$41,MATCH(4,'Module'!$L$7:$L$41,0)),"")</x:f>
        <x:v>12</x:v>
      </x:c>
      <x:c r="E46" s="2"/>
      <x:c r="F46" s="2" t="str">
        <x:f>IF(4&lt;=$B$19,INDEX('Module'!$H$7:$H$41,MATCH(4,'Module'!$L$7:$L$41,0)),"")</x:f>
        <x:v>Fester Projektkern</x:v>
      </x:c>
      <x:c r="G46" s="2"/>
      <x:c r="H46" s="2"/>
    </x:row>
    <x:row r="47" ht="32" customHeight="1">
      <x:c r="A47" s="13" t="str">
        <x:f>IF(5&lt;=$B$19,INDEX('Module'!$B$7:$B$41,MATCH(5,'Module'!$L$7:$L$41,0)),"")</x:f>
        <x:v>Nutzerkonten &amp; Lernfortschritt</x:v>
      </x:c>
      <x:c r="B47" s="13" t="str">
        <x:f>IF(5&lt;=$B$19,INDEX('Module'!$C$7:$C$41,MATCH(5,'Module'!$L$7:$L$41,0)),"")</x:f>
        <x:v>Fundament</x:v>
      </x:c>
      <x:c r="C47" s="12" t="n">
        <x:f>IF(5&lt;=$B$19,INDEX('Module'!$G$7:$G$41,MATCH(5,'Module'!$L$7:$L$41,0)),"")</x:f>
        <x:v>20000</x:v>
      </x:c>
      <x:c r="D47" s="9" t="n">
        <x:f>IF(5&lt;=$B$19,INDEX('Module'!$J$7:$J$41,MATCH(5,'Module'!$L$7:$L$41,0)),"")</x:f>
        <x:v>6</x:v>
      </x:c>
      <x:c r="E47" s="2"/>
      <x:c r="F47" s="9" t="str">
        <x:f>IF(5&lt;=$B$19,INDEX('Module'!$H$7:$H$41,MATCH(5,'Module'!$L$7:$L$41,0)),"")</x:f>
        <x:v>Fester Projektkern</x:v>
      </x:c>
      <x:c r="G47" s="9"/>
      <x:c r="H47" s="9"/>
    </x:row>
    <x:row r="48" ht="32" customHeight="1">
      <x:c r="A48" s="15" t="str">
        <x:f>IF(6&lt;=$B$19,INDEX('Module'!$B$7:$B$41,MATCH(6,'Module'!$L$7:$L$41,0)),"")</x:f>
        <x:v>Betreuungs-Dashboard</x:v>
      </x:c>
      <x:c r="B48" s="15" t="str">
        <x:f>IF(6&lt;=$B$19,INDEX('Module'!$C$7:$C$41,MATCH(6,'Module'!$L$7:$L$41,0)),"")</x:f>
        <x:v>Fundament</x:v>
      </x:c>
      <x:c r="C48" s="11" t="n">
        <x:f>IF(6&lt;=$B$19,INDEX('Module'!$G$7:$G$41,MATCH(6,'Module'!$L$7:$L$41,0)),"")</x:f>
        <x:v>10000</x:v>
      </x:c>
      <x:c r="D48" s="2" t="n">
        <x:f>IF(6&lt;=$B$19,INDEX('Module'!$J$7:$J$41,MATCH(6,'Module'!$L$7:$L$41,0)),"")</x:f>
        <x:v>9</x:v>
      </x:c>
      <x:c r="E48" s="2"/>
      <x:c r="F48" s="2" t="str">
        <x:f>IF(6&lt;=$B$19,INDEX('Module'!$H$7:$H$41,MATCH(6,'Module'!$L$7:$L$41,0)),"")</x:f>
        <x:v>Fester Projektkern</x:v>
      </x:c>
      <x:c r="G48" s="2"/>
      <x:c r="H48" s="2"/>
    </x:row>
    <x:row r="49" ht="32" customHeight="1">
      <x:c r="A49" s="13" t="str">
        <x:f>IF(7&lt;=$B$19,INDEX('Module'!$B$7:$B$41,MATCH(7,'Module'!$L$7:$L$41,0)),"")</x:f>
        <x:v>Datenschutz &amp; Schutzkonzept</x:v>
      </x:c>
      <x:c r="B49" s="13" t="str">
        <x:f>IF(7&lt;=$B$19,INDEX('Module'!$C$7:$C$41,MATCH(7,'Module'!$L$7:$L$41,0)),"")</x:f>
        <x:v>Fundament</x:v>
      </x:c>
      <x:c r="C49" s="12" t="n">
        <x:f>IF(7&lt;=$B$19,INDEX('Module'!$G$7:$G$41,MATCH(7,'Module'!$L$7:$L$41,0)),"")</x:f>
        <x:v>10000</x:v>
      </x:c>
      <x:c r="D49" s="9" t="n">
        <x:f>IF(7&lt;=$B$19,INDEX('Module'!$J$7:$J$41,MATCH(7,'Module'!$L$7:$L$41,0)),"")</x:f>
        <x:v>6</x:v>
      </x:c>
      <x:c r="E49" s="2"/>
      <x:c r="F49" s="9" t="str">
        <x:f>IF(7&lt;=$B$19,INDEX('Module'!$H$7:$H$41,MATCH(7,'Module'!$L$7:$L$41,0)),"")</x:f>
        <x:v>Fester Projektkern</x:v>
      </x:c>
      <x:c r="G49" s="9"/>
      <x:c r="H49" s="9"/>
    </x:row>
    <x:row r="50" ht="32" customHeight="1">
      <x:c r="A50" s="15" t="str">
        <x:f>IF(8&lt;=$B$19,INDEX('Module'!$B$7:$B$41,MATCH(8,'Module'!$L$7:$L$41,0)),"")</x:f>
        <x:v>Laptop &amp; Tablet</x:v>
      </x:c>
      <x:c r="B50" s="15" t="str">
        <x:f>IF(8&lt;=$B$19,INDEX('Module'!$C$7:$C$41,MATCH(8,'Module'!$L$7:$L$41,0)),"")</x:f>
        <x:v>Fundament</x:v>
      </x:c>
      <x:c r="C50" s="11" t="n">
        <x:f>IF(8&lt;=$B$19,INDEX('Module'!$G$7:$G$41,MATCH(8,'Module'!$L$7:$L$41,0)),"")</x:f>
        <x:v>10000</x:v>
      </x:c>
      <x:c r="D50" s="2" t="n">
        <x:f>IF(8&lt;=$B$19,INDEX('Module'!$J$7:$J$41,MATCH(8,'Module'!$L$7:$L$41,0)),"")</x:f>
        <x:v>9</x:v>
      </x:c>
      <x:c r="E50" s="2"/>
      <x:c r="F50" s="2" t="str">
        <x:f>IF(8&lt;=$B$19,INDEX('Module'!$H$7:$H$41,MATCH(8,'Module'!$L$7:$L$41,0)),"")</x:f>
        <x:v>Fester Projektkern</x:v>
      </x:c>
      <x:c r="G50" s="2"/>
      <x:c r="H50" s="2"/>
    </x:row>
    <x:row r="51" ht="32" customHeight="1">
      <x:c r="A51" s="13" t="str">
        <x:f>IF(9&lt;=$B$19,INDEX('Module'!$B$7:$B$41,MATCH(9,'Module'!$L$7:$L$41,0)),"")</x:f>
        <x:v>Tests &amp; Qualitätssicherung</x:v>
      </x:c>
      <x:c r="B51" s="13" t="str">
        <x:f>IF(9&lt;=$B$19,INDEX('Module'!$C$7:$C$41,MATCH(9,'Module'!$L$7:$L$41,0)),"")</x:f>
        <x:v>Fundament</x:v>
      </x:c>
      <x:c r="C51" s="12" t="n">
        <x:f>IF(9&lt;=$B$19,INDEX('Module'!$G$7:$G$41,MATCH(9,'Module'!$L$7:$L$41,0)),"")</x:f>
        <x:v>16000</x:v>
      </x:c>
      <x:c r="D51" s="9" t="n">
        <x:f>IF(9&lt;=$B$19,INDEX('Module'!$J$7:$J$41,MATCH(9,'Module'!$L$7:$L$41,0)),"")</x:f>
        <x:v>12</x:v>
      </x:c>
      <x:c r="E51" s="2"/>
      <x:c r="F51" s="9" t="str">
        <x:f>IF(9&lt;=$B$19,INDEX('Module'!$H$7:$H$41,MATCH(9,'Module'!$L$7:$L$41,0)),"")</x:f>
        <x:v>Fester Projektkern</x:v>
      </x:c>
      <x:c r="G51" s="9"/>
      <x:c r="H51" s="9"/>
    </x:row>
    <x:row r="52" ht="32" customHeight="1">
      <x:c r="A52" s="15" t="str">
        <x:f>IF(10&lt;=$B$19,INDEX('Module'!$B$7:$B$41,MATCH(10,'Module'!$L$7:$L$41,0)),"")</x:f>
        <x:v>Gemeinsame Projektsteuerung</x:v>
      </x:c>
      <x:c r="B52" s="15" t="str">
        <x:f>IF(10&lt;=$B$19,INDEX('Module'!$C$7:$C$41,MATCH(10,'Module'!$L$7:$L$41,0)),"")</x:f>
        <x:v>Fundament</x:v>
      </x:c>
      <x:c r="C52" s="11" t="n">
        <x:f>IF(10&lt;=$B$19,INDEX('Module'!$G$7:$G$41,MATCH(10,'Module'!$L$7:$L$41,0)),"")</x:f>
        <x:v>8000</x:v>
      </x:c>
      <x:c r="D52" s="2" t="n">
        <x:f>IF(10&lt;=$B$19,INDEX('Module'!$J$7:$J$41,MATCH(10,'Module'!$L$7:$L$41,0)),"")</x:f>
        <x:v>24</x:v>
      </x:c>
      <x:c r="E52" s="2"/>
      <x:c r="F52" s="2" t="str">
        <x:f>IF(10&lt;=$B$19,INDEX('Module'!$H$7:$H$41,MATCH(10,'Module'!$L$7:$L$41,0)),"")</x:f>
        <x:v>Fester Projektkern</x:v>
      </x:c>
      <x:c r="G52" s="2"/>
      <x:c r="H52" s="2"/>
    </x:row>
    <x:row r="53" ht="32" customHeight="1">
      <x:c r="A53" s="13" t="str">
        <x:f>IF(11&lt;=$B$19,INDEX('Module'!$B$7:$B$41,MATCH(11,'Module'!$L$7:$L$41,0)),"")</x:f>
        <x:v>Pflege bis Monat 36</x:v>
      </x:c>
      <x:c r="B53" s="13" t="str">
        <x:f>IF(11&lt;=$B$19,INDEX('Module'!$C$7:$C$41,MATCH(11,'Module'!$L$7:$L$41,0)),"")</x:f>
        <x:v>Fundament</x:v>
      </x:c>
      <x:c r="C53" s="12" t="n">
        <x:f>IF(11&lt;=$B$19,INDEX('Module'!$G$7:$G$41,MATCH(11,'Module'!$L$7:$L$41,0)),"")</x:f>
        <x:v>20000</x:v>
      </x:c>
      <x:c r="D53" s="9" t="n">
        <x:f>IF(11&lt;=$B$19,INDEX('Module'!$J$7:$J$41,MATCH(11,'Module'!$L$7:$L$41,0)),"")</x:f>
        <x:v>36</x:v>
      </x:c>
      <x:c r="E53" s="2"/>
      <x:c r="F53" s="9" t="str">
        <x:f>IF(11&lt;=$B$19,INDEX('Module'!$H$7:$H$41,MATCH(11,'Module'!$L$7:$L$41,0)),"")</x:f>
        <x:v>Fester Projektkern</x:v>
      </x:c>
      <x:c r="G53" s="9"/>
      <x:c r="H53" s="9"/>
    </x:row>
    <x:row r="54" ht="32" customHeight="1">
      <x:c r="A54" s="15" t="str">
        <x:f>IF(12&lt;=$B$19,INDEX('Module'!$B$7:$B$41,MATCH(12,'Module'!$L$7:$L$41,0)),"")</x:f>
      </x:c>
      <x:c r="B54" s="15" t="str">
        <x:f>IF(12&lt;=$B$19,INDEX('Module'!$C$7:$C$41,MATCH(12,'Module'!$L$7:$L$41,0)),"")</x:f>
      </x:c>
      <x:c r="C54" s="11" t="str">
        <x:f>IF(12&lt;=$B$19,INDEX('Module'!$G$7:$G$41,MATCH(12,'Module'!$L$7:$L$41,0)),"")</x:f>
      </x:c>
      <x:c r="D54" s="2" t="str">
        <x:f>IF(12&lt;=$B$19,INDEX('Module'!$J$7:$J$41,MATCH(12,'Module'!$L$7:$L$41,0)),"")</x:f>
      </x:c>
      <x:c r="E54" s="2"/>
      <x:c r="F54" s="2" t="str">
        <x:f>IF(12&lt;=$B$19,INDEX('Module'!$H$7:$H$41,MATCH(12,'Module'!$L$7:$L$41,0)),"")</x:f>
      </x:c>
      <x:c r="G54" s="2"/>
      <x:c r="H54" s="2"/>
    </x:row>
    <x:row r="55" ht="32" customHeight="1">
      <x:c r="A55" s="13" t="str">
        <x:f>IF(13&lt;=$B$19,INDEX('Module'!$B$7:$B$41,MATCH(13,'Module'!$L$7:$L$41,0)),"")</x:f>
      </x:c>
      <x:c r="B55" s="13" t="str">
        <x:f>IF(13&lt;=$B$19,INDEX('Module'!$C$7:$C$41,MATCH(13,'Module'!$L$7:$L$41,0)),"")</x:f>
      </x:c>
      <x:c r="C55" s="12" t="str">
        <x:f>IF(13&lt;=$B$19,INDEX('Module'!$G$7:$G$41,MATCH(13,'Module'!$L$7:$L$41,0)),"")</x:f>
      </x:c>
      <x:c r="D55" s="9" t="str">
        <x:f>IF(13&lt;=$B$19,INDEX('Module'!$J$7:$J$41,MATCH(13,'Module'!$L$7:$L$41,0)),"")</x:f>
      </x:c>
      <x:c r="E55" s="2"/>
      <x:c r="F55" s="9" t="str">
        <x:f>IF(13&lt;=$B$19,INDEX('Module'!$H$7:$H$41,MATCH(13,'Module'!$L$7:$L$41,0)),"")</x:f>
      </x:c>
      <x:c r="G55" s="9"/>
      <x:c r="H55" s="9"/>
    </x:row>
    <x:row r="56" ht="32" customHeight="1">
      <x:c r="A56" s="15" t="str">
        <x:f>IF(14&lt;=$B$19,INDEX('Module'!$B$7:$B$41,MATCH(14,'Module'!$L$7:$L$41,0)),"")</x:f>
      </x:c>
      <x:c r="B56" s="15" t="str">
        <x:f>IF(14&lt;=$B$19,INDEX('Module'!$C$7:$C$41,MATCH(14,'Module'!$L$7:$L$41,0)),"")</x:f>
      </x:c>
      <x:c r="C56" s="11" t="str">
        <x:f>IF(14&lt;=$B$19,INDEX('Module'!$G$7:$G$41,MATCH(14,'Module'!$L$7:$L$41,0)),"")</x:f>
      </x:c>
      <x:c r="D56" s="2" t="str">
        <x:f>IF(14&lt;=$B$19,INDEX('Module'!$J$7:$J$41,MATCH(14,'Module'!$L$7:$L$41,0)),"")</x:f>
      </x:c>
      <x:c r="E56" s="2"/>
      <x:c r="F56" s="2" t="str">
        <x:f>IF(14&lt;=$B$19,INDEX('Module'!$H$7:$H$41,MATCH(14,'Module'!$L$7:$L$41,0)),"")</x:f>
      </x:c>
      <x:c r="G56" s="2"/>
      <x:c r="H56" s="2"/>
    </x:row>
    <x:row r="57" ht="32" customHeight="1">
      <x:c r="A57" s="13" t="str">
        <x:f>IF(15&lt;=$B$19,INDEX('Module'!$B$7:$B$41,MATCH(15,'Module'!$L$7:$L$41,0)),"")</x:f>
      </x:c>
      <x:c r="B57" s="13" t="str">
        <x:f>IF(15&lt;=$B$19,INDEX('Module'!$C$7:$C$41,MATCH(15,'Module'!$L$7:$L$41,0)),"")</x:f>
      </x:c>
      <x:c r="C57" s="12" t="str">
        <x:f>IF(15&lt;=$B$19,INDEX('Module'!$G$7:$G$41,MATCH(15,'Module'!$L$7:$L$41,0)),"")</x:f>
      </x:c>
      <x:c r="D57" s="9" t="str">
        <x:f>IF(15&lt;=$B$19,INDEX('Module'!$J$7:$J$41,MATCH(15,'Module'!$L$7:$L$41,0)),"")</x:f>
      </x:c>
      <x:c r="E57" s="2"/>
      <x:c r="F57" s="9" t="str">
        <x:f>IF(15&lt;=$B$19,INDEX('Module'!$H$7:$H$41,MATCH(15,'Module'!$L$7:$L$41,0)),"")</x:f>
      </x:c>
      <x:c r="G57" s="9"/>
      <x:c r="H57" s="9"/>
    </x:row>
    <x:row r="58" ht="32" customHeight="1">
      <x:c r="A58" s="15" t="str">
        <x:f>IF(16&lt;=$B$19,INDEX('Module'!$B$7:$B$41,MATCH(16,'Module'!$L$7:$L$41,0)),"")</x:f>
      </x:c>
      <x:c r="B58" s="15" t="str">
        <x:f>IF(16&lt;=$B$19,INDEX('Module'!$C$7:$C$41,MATCH(16,'Module'!$L$7:$L$41,0)),"")</x:f>
      </x:c>
      <x:c r="C58" s="11" t="str">
        <x:f>IF(16&lt;=$B$19,INDEX('Module'!$G$7:$G$41,MATCH(16,'Module'!$L$7:$L$41,0)),"")</x:f>
      </x:c>
      <x:c r="D58" s="2" t="str">
        <x:f>IF(16&lt;=$B$19,INDEX('Module'!$J$7:$J$41,MATCH(16,'Module'!$L$7:$L$41,0)),"")</x:f>
      </x:c>
      <x:c r="E58" s="2"/>
      <x:c r="F58" s="2" t="str">
        <x:f>IF(16&lt;=$B$19,INDEX('Module'!$H$7:$H$41,MATCH(16,'Module'!$L$7:$L$41,0)),"")</x:f>
      </x:c>
      <x:c r="G58" s="2"/>
      <x:c r="H58" s="2"/>
    </x:row>
    <x:row r="59" ht="32" customHeight="1">
      <x:c r="A59" s="13" t="str">
        <x:f>IF(17&lt;=$B$19,INDEX('Module'!$B$7:$B$41,MATCH(17,'Module'!$L$7:$L$41,0)),"")</x:f>
      </x:c>
      <x:c r="B59" s="13" t="str">
        <x:f>IF(17&lt;=$B$19,INDEX('Module'!$C$7:$C$41,MATCH(17,'Module'!$L$7:$L$41,0)),"")</x:f>
      </x:c>
      <x:c r="C59" s="12" t="str">
        <x:f>IF(17&lt;=$B$19,INDEX('Module'!$G$7:$G$41,MATCH(17,'Module'!$L$7:$L$41,0)),"")</x:f>
      </x:c>
      <x:c r="D59" s="9" t="str">
        <x:f>IF(17&lt;=$B$19,INDEX('Module'!$J$7:$J$41,MATCH(17,'Module'!$L$7:$L$41,0)),"")</x:f>
      </x:c>
      <x:c r="E59" s="2"/>
      <x:c r="F59" s="9" t="str">
        <x:f>IF(17&lt;=$B$19,INDEX('Module'!$H$7:$H$41,MATCH(17,'Module'!$L$7:$L$41,0)),"")</x:f>
      </x:c>
      <x:c r="G59" s="9"/>
      <x:c r="H59" s="9"/>
    </x:row>
    <x:row r="60" ht="32" customHeight="1">
      <x:c r="A60" s="15" t="str">
        <x:f>IF(18&lt;=$B$19,INDEX('Module'!$B$7:$B$41,MATCH(18,'Module'!$L$7:$L$41,0)),"")</x:f>
      </x:c>
      <x:c r="B60" s="15" t="str">
        <x:f>IF(18&lt;=$B$19,INDEX('Module'!$C$7:$C$41,MATCH(18,'Module'!$L$7:$L$41,0)),"")</x:f>
      </x:c>
      <x:c r="C60" s="11" t="str">
        <x:f>IF(18&lt;=$B$19,INDEX('Module'!$G$7:$G$41,MATCH(18,'Module'!$L$7:$L$41,0)),"")</x:f>
      </x:c>
      <x:c r="D60" s="2" t="str">
        <x:f>IF(18&lt;=$B$19,INDEX('Module'!$J$7:$J$41,MATCH(18,'Module'!$L$7:$L$41,0)),"")</x:f>
      </x:c>
      <x:c r="E60" s="2"/>
      <x:c r="F60" s="2" t="str">
        <x:f>IF(18&lt;=$B$19,INDEX('Module'!$H$7:$H$41,MATCH(18,'Module'!$L$7:$L$41,0)),"")</x:f>
      </x:c>
      <x:c r="G60" s="2"/>
      <x:c r="H60" s="2"/>
    </x:row>
    <x:row r="61" ht="32" customHeight="1">
      <x:c r="A61" s="13" t="str">
        <x:f>IF(19&lt;=$B$19,INDEX('Module'!$B$7:$B$41,MATCH(19,'Module'!$L$7:$L$41,0)),"")</x:f>
      </x:c>
      <x:c r="B61" s="13" t="str">
        <x:f>IF(19&lt;=$B$19,INDEX('Module'!$C$7:$C$41,MATCH(19,'Module'!$L$7:$L$41,0)),"")</x:f>
      </x:c>
      <x:c r="C61" s="12" t="str">
        <x:f>IF(19&lt;=$B$19,INDEX('Module'!$G$7:$G$41,MATCH(19,'Module'!$L$7:$L$41,0)),"")</x:f>
      </x:c>
      <x:c r="D61" s="9" t="str">
        <x:f>IF(19&lt;=$B$19,INDEX('Module'!$J$7:$J$41,MATCH(19,'Module'!$L$7:$L$41,0)),"")</x:f>
      </x:c>
      <x:c r="E61" s="2"/>
      <x:c r="F61" s="9" t="str">
        <x:f>IF(19&lt;=$B$19,INDEX('Module'!$H$7:$H$41,MATCH(19,'Module'!$L$7:$L$41,0)),"")</x:f>
      </x:c>
      <x:c r="G61" s="9"/>
      <x:c r="H61" s="9"/>
    </x:row>
    <x:row r="62" ht="32" customHeight="1">
      <x:c r="A62" s="15" t="str">
        <x:f>IF(20&lt;=$B$19,INDEX('Module'!$B$7:$B$41,MATCH(20,'Module'!$L$7:$L$41,0)),"")</x:f>
      </x:c>
      <x:c r="B62" s="15" t="str">
        <x:f>IF(20&lt;=$B$19,INDEX('Module'!$C$7:$C$41,MATCH(20,'Module'!$L$7:$L$41,0)),"")</x:f>
      </x:c>
      <x:c r="C62" s="11" t="str">
        <x:f>IF(20&lt;=$B$19,INDEX('Module'!$G$7:$G$41,MATCH(20,'Module'!$L$7:$L$41,0)),"")</x:f>
      </x:c>
      <x:c r="D62" s="2" t="str">
        <x:f>IF(20&lt;=$B$19,INDEX('Module'!$J$7:$J$41,MATCH(20,'Module'!$L$7:$L$41,0)),"")</x:f>
      </x:c>
      <x:c r="E62" s="2"/>
      <x:c r="F62" s="2" t="str">
        <x:f>IF(20&lt;=$B$19,INDEX('Module'!$H$7:$H$41,MATCH(20,'Module'!$L$7:$L$41,0)),"")</x:f>
      </x:c>
      <x:c r="G62" s="2"/>
      <x:c r="H62" s="2"/>
    </x:row>
    <x:row r="63" ht="32" customHeight="1">
      <x:c r="A63" s="13" t="str">
        <x:f>IF(21&lt;=$B$19,INDEX('Module'!$B$7:$B$41,MATCH(21,'Module'!$L$7:$L$41,0)),"")</x:f>
      </x:c>
      <x:c r="B63" s="13" t="str">
        <x:f>IF(21&lt;=$B$19,INDEX('Module'!$C$7:$C$41,MATCH(21,'Module'!$L$7:$L$41,0)),"")</x:f>
      </x:c>
      <x:c r="C63" s="12" t="str">
        <x:f>IF(21&lt;=$B$19,INDEX('Module'!$G$7:$G$41,MATCH(21,'Module'!$L$7:$L$41,0)),"")</x:f>
      </x:c>
      <x:c r="D63" s="9" t="str">
        <x:f>IF(21&lt;=$B$19,INDEX('Module'!$J$7:$J$41,MATCH(21,'Module'!$L$7:$L$41,0)),"")</x:f>
      </x:c>
      <x:c r="E63" s="2"/>
      <x:c r="F63" s="9" t="str">
        <x:f>IF(21&lt;=$B$19,INDEX('Module'!$H$7:$H$41,MATCH(21,'Module'!$L$7:$L$41,0)),"")</x:f>
      </x:c>
      <x:c r="G63" s="9"/>
      <x:c r="H63" s="9"/>
    </x:row>
    <x:row r="64" ht="32" customHeight="1">
      <x:c r="A64" s="15" t="str">
        <x:f>IF(22&lt;=$B$19,INDEX('Module'!$B$7:$B$41,MATCH(22,'Module'!$L$7:$L$41,0)),"")</x:f>
      </x:c>
      <x:c r="B64" s="15" t="str">
        <x:f>IF(22&lt;=$B$19,INDEX('Module'!$C$7:$C$41,MATCH(22,'Module'!$L$7:$L$41,0)),"")</x:f>
      </x:c>
      <x:c r="C64" s="11" t="str">
        <x:f>IF(22&lt;=$B$19,INDEX('Module'!$G$7:$G$41,MATCH(22,'Module'!$L$7:$L$41,0)),"")</x:f>
      </x:c>
      <x:c r="D64" s="2" t="str">
        <x:f>IF(22&lt;=$B$19,INDEX('Module'!$J$7:$J$41,MATCH(22,'Module'!$L$7:$L$41,0)),"")</x:f>
      </x:c>
      <x:c r="E64" s="2"/>
      <x:c r="F64" s="2" t="str">
        <x:f>IF(22&lt;=$B$19,INDEX('Module'!$H$7:$H$41,MATCH(22,'Module'!$L$7:$L$41,0)),"")</x:f>
      </x:c>
      <x:c r="G64" s="2"/>
      <x:c r="H64" s="2"/>
    </x:row>
    <x:row r="65" ht="32" customHeight="1">
      <x:c r="A65" s="13" t="str">
        <x:f>IF(23&lt;=$B$19,INDEX('Module'!$B$7:$B$41,MATCH(23,'Module'!$L$7:$L$41,0)),"")</x:f>
      </x:c>
      <x:c r="B65" s="13" t="str">
        <x:f>IF(23&lt;=$B$19,INDEX('Module'!$C$7:$C$41,MATCH(23,'Module'!$L$7:$L$41,0)),"")</x:f>
      </x:c>
      <x:c r="C65" s="12" t="str">
        <x:f>IF(23&lt;=$B$19,INDEX('Module'!$G$7:$G$41,MATCH(23,'Module'!$L$7:$L$41,0)),"")</x:f>
      </x:c>
      <x:c r="D65" s="9" t="str">
        <x:f>IF(23&lt;=$B$19,INDEX('Module'!$J$7:$J$41,MATCH(23,'Module'!$L$7:$L$41,0)),"")</x:f>
      </x:c>
      <x:c r="E65" s="2"/>
      <x:c r="F65" s="9" t="str">
        <x:f>IF(23&lt;=$B$19,INDEX('Module'!$H$7:$H$41,MATCH(23,'Module'!$L$7:$L$41,0)),"")</x:f>
      </x:c>
      <x:c r="G65" s="9"/>
      <x:c r="H65" s="9"/>
    </x:row>
    <x:row r="66" ht="32" customHeight="1">
      <x:c r="A66" s="15" t="str">
        <x:f>IF(24&lt;=$B$19,INDEX('Module'!$B$7:$B$41,MATCH(24,'Module'!$L$7:$L$41,0)),"")</x:f>
      </x:c>
      <x:c r="B66" s="15" t="str">
        <x:f>IF(24&lt;=$B$19,INDEX('Module'!$C$7:$C$41,MATCH(24,'Module'!$L$7:$L$41,0)),"")</x:f>
      </x:c>
      <x:c r="C66" s="11" t="str">
        <x:f>IF(24&lt;=$B$19,INDEX('Module'!$G$7:$G$41,MATCH(24,'Module'!$L$7:$L$41,0)),"")</x:f>
      </x:c>
      <x:c r="D66" s="2" t="str">
        <x:f>IF(24&lt;=$B$19,INDEX('Module'!$J$7:$J$41,MATCH(24,'Module'!$L$7:$L$41,0)),"")</x:f>
      </x:c>
      <x:c r="E66" s="2"/>
      <x:c r="F66" s="2" t="str">
        <x:f>IF(24&lt;=$B$19,INDEX('Module'!$H$7:$H$41,MATCH(24,'Module'!$L$7:$L$41,0)),"")</x:f>
      </x:c>
      <x:c r="G66" s="2"/>
      <x:c r="H66" s="2"/>
    </x:row>
    <x:row r="67" ht="32" customHeight="1">
      <x:c r="A67" s="13" t="str">
        <x:f>IF(25&lt;=$B$19,INDEX('Module'!$B$7:$B$41,MATCH(25,'Module'!$L$7:$L$41,0)),"")</x:f>
      </x:c>
      <x:c r="B67" s="13" t="str">
        <x:f>IF(25&lt;=$B$19,INDEX('Module'!$C$7:$C$41,MATCH(25,'Module'!$L$7:$L$41,0)),"")</x:f>
      </x:c>
      <x:c r="C67" s="12" t="str">
        <x:f>IF(25&lt;=$B$19,INDEX('Module'!$G$7:$G$41,MATCH(25,'Module'!$L$7:$L$41,0)),"")</x:f>
      </x:c>
      <x:c r="D67" s="9" t="str">
        <x:f>IF(25&lt;=$B$19,INDEX('Module'!$J$7:$J$41,MATCH(25,'Module'!$L$7:$L$41,0)),"")</x:f>
      </x:c>
      <x:c r="E67" s="2"/>
      <x:c r="F67" s="9" t="str">
        <x:f>IF(25&lt;=$B$19,INDEX('Module'!$H$7:$H$41,MATCH(25,'Module'!$L$7:$L$41,0)),"")</x:f>
      </x:c>
      <x:c r="G67" s="9"/>
      <x:c r="H67" s="9"/>
    </x:row>
    <x:row r="68" ht="32" customHeight="1">
      <x:c r="A68" s="15" t="str">
        <x:f>IF(26&lt;=$B$19,INDEX('Module'!$B$7:$B$41,MATCH(26,'Module'!$L$7:$L$41,0)),"")</x:f>
      </x:c>
      <x:c r="B68" s="15" t="str">
        <x:f>IF(26&lt;=$B$19,INDEX('Module'!$C$7:$C$41,MATCH(26,'Module'!$L$7:$L$41,0)),"")</x:f>
      </x:c>
      <x:c r="C68" s="11" t="str">
        <x:f>IF(26&lt;=$B$19,INDEX('Module'!$G$7:$G$41,MATCH(26,'Module'!$L$7:$L$41,0)),"")</x:f>
      </x:c>
      <x:c r="D68" s="2" t="str">
        <x:f>IF(26&lt;=$B$19,INDEX('Module'!$J$7:$J$41,MATCH(26,'Module'!$L$7:$L$41,0)),"")</x:f>
      </x:c>
      <x:c r="E68" s="2"/>
      <x:c r="F68" s="2" t="str">
        <x:f>IF(26&lt;=$B$19,INDEX('Module'!$H$7:$H$41,MATCH(26,'Module'!$L$7:$L$41,0)),"")</x:f>
      </x:c>
      <x:c r="G68" s="2"/>
      <x:c r="H68" s="2"/>
    </x:row>
    <x:row r="69" ht="32" customHeight="1">
      <x:c r="A69" s="13" t="str">
        <x:f>IF(27&lt;=$B$19,INDEX('Module'!$B$7:$B$41,MATCH(27,'Module'!$L$7:$L$41,0)),"")</x:f>
      </x:c>
      <x:c r="B69" s="13" t="str">
        <x:f>IF(27&lt;=$B$19,INDEX('Module'!$C$7:$C$41,MATCH(27,'Module'!$L$7:$L$41,0)),"")</x:f>
      </x:c>
      <x:c r="C69" s="12" t="str">
        <x:f>IF(27&lt;=$B$19,INDEX('Module'!$G$7:$G$41,MATCH(27,'Module'!$L$7:$L$41,0)),"")</x:f>
      </x:c>
      <x:c r="D69" s="9" t="str">
        <x:f>IF(27&lt;=$B$19,INDEX('Module'!$J$7:$J$41,MATCH(27,'Module'!$L$7:$L$41,0)),"")</x:f>
      </x:c>
      <x:c r="E69" s="2"/>
      <x:c r="F69" s="9" t="str">
        <x:f>IF(27&lt;=$B$19,INDEX('Module'!$H$7:$H$41,MATCH(27,'Module'!$L$7:$L$41,0)),"")</x:f>
      </x:c>
      <x:c r="G69" s="9"/>
      <x:c r="H69" s="9"/>
    </x:row>
    <x:row r="70" ht="32" customHeight="1">
      <x:c r="A70" s="15" t="str">
        <x:f>IF(28&lt;=$B$19,INDEX('Module'!$B$7:$B$41,MATCH(28,'Module'!$L$7:$L$41,0)),"")</x:f>
      </x:c>
      <x:c r="B70" s="15" t="str">
        <x:f>IF(28&lt;=$B$19,INDEX('Module'!$C$7:$C$41,MATCH(28,'Module'!$L$7:$L$41,0)),"")</x:f>
      </x:c>
      <x:c r="C70" s="11" t="str">
        <x:f>IF(28&lt;=$B$19,INDEX('Module'!$G$7:$G$41,MATCH(28,'Module'!$L$7:$L$41,0)),"")</x:f>
      </x:c>
      <x:c r="D70" s="2" t="str">
        <x:f>IF(28&lt;=$B$19,INDEX('Module'!$J$7:$J$41,MATCH(28,'Module'!$L$7:$L$41,0)),"")</x:f>
      </x:c>
      <x:c r="E70" s="2"/>
      <x:c r="F70" s="2" t="str">
        <x:f>IF(28&lt;=$B$19,INDEX('Module'!$H$7:$H$41,MATCH(28,'Module'!$L$7:$L$41,0)),"")</x:f>
      </x:c>
      <x:c r="G70" s="2"/>
      <x:c r="H70" s="2"/>
    </x:row>
    <x:row r="71" ht="32" customHeight="1">
      <x:c r="A71" s="13" t="str">
        <x:f>IF(29&lt;=$B$19,INDEX('Module'!$B$7:$B$41,MATCH(29,'Module'!$L$7:$L$41,0)),"")</x:f>
      </x:c>
      <x:c r="B71" s="13" t="str">
        <x:f>IF(29&lt;=$B$19,INDEX('Module'!$C$7:$C$41,MATCH(29,'Module'!$L$7:$L$41,0)),"")</x:f>
      </x:c>
      <x:c r="C71" s="12" t="str">
        <x:f>IF(29&lt;=$B$19,INDEX('Module'!$G$7:$G$41,MATCH(29,'Module'!$L$7:$L$41,0)),"")</x:f>
      </x:c>
      <x:c r="D71" s="9" t="str">
        <x:f>IF(29&lt;=$B$19,INDEX('Module'!$J$7:$J$41,MATCH(29,'Module'!$L$7:$L$41,0)),"")</x:f>
      </x:c>
      <x:c r="E71" s="2"/>
      <x:c r="F71" s="9" t="str">
        <x:f>IF(29&lt;=$B$19,INDEX('Module'!$H$7:$H$41,MATCH(29,'Module'!$L$7:$L$41,0)),"")</x:f>
      </x:c>
      <x:c r="G71" s="9"/>
      <x:c r="H71" s="9"/>
    </x:row>
    <x:row r="72" ht="32" customHeight="1">
      <x:c r="A72" s="15" t="str">
        <x:f>IF(30&lt;=$B$19,INDEX('Module'!$B$7:$B$41,MATCH(30,'Module'!$L$7:$L$41,0)),"")</x:f>
      </x:c>
      <x:c r="B72" s="15" t="str">
        <x:f>IF(30&lt;=$B$19,INDEX('Module'!$C$7:$C$41,MATCH(30,'Module'!$L$7:$L$41,0)),"")</x:f>
      </x:c>
      <x:c r="C72" s="11" t="str">
        <x:f>IF(30&lt;=$B$19,INDEX('Module'!$G$7:$G$41,MATCH(30,'Module'!$L$7:$L$41,0)),"")</x:f>
      </x:c>
      <x:c r="D72" s="2" t="str">
        <x:f>IF(30&lt;=$B$19,INDEX('Module'!$J$7:$J$41,MATCH(30,'Module'!$L$7:$L$41,0)),"")</x:f>
      </x:c>
      <x:c r="E72" s="2"/>
      <x:c r="F72" s="2" t="str">
        <x:f>IF(30&lt;=$B$19,INDEX('Module'!$H$7:$H$41,MATCH(30,'Module'!$L$7:$L$41,0)),"")</x:f>
      </x:c>
      <x:c r="G72" s="2"/>
      <x:c r="H72" s="2"/>
    </x:row>
    <x:row r="73" ht="32" customHeight="1">
      <x:c r="A73" s="13" t="str">
        <x:f>IF(31&lt;=$B$19,INDEX('Module'!$B$7:$B$41,MATCH(31,'Module'!$L$7:$L$41,0)),"")</x:f>
      </x:c>
      <x:c r="B73" s="13" t="str">
        <x:f>IF(31&lt;=$B$19,INDEX('Module'!$C$7:$C$41,MATCH(31,'Module'!$L$7:$L$41,0)),"")</x:f>
      </x:c>
      <x:c r="C73" s="12" t="str">
        <x:f>IF(31&lt;=$B$19,INDEX('Module'!$G$7:$G$41,MATCH(31,'Module'!$L$7:$L$41,0)),"")</x:f>
      </x:c>
      <x:c r="D73" s="9" t="str">
        <x:f>IF(31&lt;=$B$19,INDEX('Module'!$J$7:$J$41,MATCH(31,'Module'!$L$7:$L$41,0)),"")</x:f>
      </x:c>
      <x:c r="E73" s="2"/>
      <x:c r="F73" s="9" t="str">
        <x:f>IF(31&lt;=$B$19,INDEX('Module'!$H$7:$H$41,MATCH(31,'Module'!$L$7:$L$41,0)),"")</x:f>
      </x:c>
      <x:c r="G73" s="9"/>
      <x:c r="H73" s="9"/>
    </x:row>
    <x:row r="74" ht="32" customHeight="1">
      <x:c r="A74" s="15" t="str">
        <x:f>IF(32&lt;=$B$19,INDEX('Module'!$B$7:$B$41,MATCH(32,'Module'!$L$7:$L$41,0)),"")</x:f>
      </x:c>
      <x:c r="B74" s="15" t="str">
        <x:f>IF(32&lt;=$B$19,INDEX('Module'!$C$7:$C$41,MATCH(32,'Module'!$L$7:$L$41,0)),"")</x:f>
      </x:c>
      <x:c r="C74" s="11" t="str">
        <x:f>IF(32&lt;=$B$19,INDEX('Module'!$G$7:$G$41,MATCH(32,'Module'!$L$7:$L$41,0)),"")</x:f>
      </x:c>
      <x:c r="D74" s="2" t="str">
        <x:f>IF(32&lt;=$B$19,INDEX('Module'!$J$7:$J$41,MATCH(32,'Module'!$L$7:$L$41,0)),"")</x:f>
      </x:c>
      <x:c r="E74" s="2"/>
      <x:c r="F74" s="2" t="str">
        <x:f>IF(32&lt;=$B$19,INDEX('Module'!$H$7:$H$41,MATCH(32,'Module'!$L$7:$L$41,0)),"")</x:f>
      </x:c>
      <x:c r="G74" s="2"/>
      <x:c r="H74" s="2"/>
    </x:row>
    <x:row r="75" ht="32" customHeight="1">
      <x:c r="A75" s="13" t="str">
        <x:f>IF(33&lt;=$B$19,INDEX('Module'!$B$7:$B$41,MATCH(33,'Module'!$L$7:$L$41,0)),"")</x:f>
      </x:c>
      <x:c r="B75" s="13" t="str">
        <x:f>IF(33&lt;=$B$19,INDEX('Module'!$C$7:$C$41,MATCH(33,'Module'!$L$7:$L$41,0)),"")</x:f>
      </x:c>
      <x:c r="C75" s="12" t="str">
        <x:f>IF(33&lt;=$B$19,INDEX('Module'!$G$7:$G$41,MATCH(33,'Module'!$L$7:$L$41,0)),"")</x:f>
      </x:c>
      <x:c r="D75" s="9" t="str">
        <x:f>IF(33&lt;=$B$19,INDEX('Module'!$J$7:$J$41,MATCH(33,'Module'!$L$7:$L$41,0)),"")</x:f>
      </x:c>
      <x:c r="E75" s="2"/>
      <x:c r="F75" s="9" t="str">
        <x:f>IF(33&lt;=$B$19,INDEX('Module'!$H$7:$H$41,MATCH(33,'Module'!$L$7:$L$41,0)),"")</x:f>
      </x:c>
      <x:c r="G75" s="9"/>
      <x:c r="H75" s="9"/>
    </x:row>
    <x:row r="76" ht="32" customHeight="1">
      <x:c r="A76" s="15" t="str">
        <x:f>IF(34&lt;=$B$19,INDEX('Module'!$B$7:$B$41,MATCH(34,'Module'!$L$7:$L$41,0)),"")</x:f>
      </x:c>
      <x:c r="B76" s="15" t="str">
        <x:f>IF(34&lt;=$B$19,INDEX('Module'!$C$7:$C$41,MATCH(34,'Module'!$L$7:$L$41,0)),"")</x:f>
      </x:c>
      <x:c r="C76" s="11" t="str">
        <x:f>IF(34&lt;=$B$19,INDEX('Module'!$G$7:$G$41,MATCH(34,'Module'!$L$7:$L$41,0)),"")</x:f>
      </x:c>
      <x:c r="D76" s="2" t="str">
        <x:f>IF(34&lt;=$B$19,INDEX('Module'!$J$7:$J$41,MATCH(34,'Module'!$L$7:$L$41,0)),"")</x:f>
      </x:c>
      <x:c r="E76" s="2"/>
      <x:c r="F76" s="2" t="str">
        <x:f>IF(34&lt;=$B$19,INDEX('Module'!$H$7:$H$41,MATCH(34,'Module'!$L$7:$L$41,0)),"")</x:f>
      </x:c>
      <x:c r="G76" s="2"/>
      <x:c r="H76" s="2"/>
    </x:row>
    <x:row r="77" ht="32" customHeight="1">
      <x:c r="A77" s="13" t="str">
        <x:f>IF(35&lt;=$B$19,INDEX('Module'!$B$7:$B$41,MATCH(35,'Module'!$L$7:$L$41,0)),"")</x:f>
      </x:c>
      <x:c r="B77" s="13" t="str">
        <x:f>IF(35&lt;=$B$19,INDEX('Module'!$C$7:$C$41,MATCH(35,'Module'!$L$7:$L$41,0)),"")</x:f>
      </x:c>
      <x:c r="C77" s="12" t="str">
        <x:f>IF(35&lt;=$B$19,INDEX('Module'!$G$7:$G$41,MATCH(35,'Module'!$L$7:$L$41,0)),"")</x:f>
      </x:c>
      <x:c r="D77" s="9" t="str">
        <x:f>IF(35&lt;=$B$19,INDEX('Module'!$J$7:$J$41,MATCH(35,'Module'!$L$7:$L$41,0)),"")</x:f>
      </x:c>
      <x:c r="E77" s="2"/>
      <x:c r="F77" s="9" t="str">
        <x:f>IF(35&lt;=$B$19,INDEX('Module'!$H$7:$H$41,MATCH(35,'Module'!$L$7:$L$41,0)),"")</x:f>
      </x:c>
      <x:c r="G77" s="9"/>
      <x:c r="H77" s="9"/>
    </x:row>
    <x:row r="78" ht="32" customHeight="1">
      <x:c r="A78" s="15"/>
      <x:c r="B78" s="15"/>
      <x:c r="C78" s="11"/>
      <x:c r="D78" s="2"/>
      <x:c r="E78" s="2"/>
      <x:c r="F78" s="2"/>
      <x:c r="G78" s="2"/>
      <x:c r="H78" s="2"/>
    </x:row>
    <x:row r="79" ht="32" customHeight="1">
      <x:c r="A79" s="15"/>
      <x:c r="B79" s="15"/>
      <x:c r="C79" s="11"/>
      <x:c r="D79" s="2"/>
      <x:c r="E79" s="2"/>
      <x:c r="F79" s="2"/>
      <x:c r="G79" s="2"/>
      <x:c r="H79" s="2"/>
    </x:row>
    <x:row r="80" ht="32" customHeight="1">
      <x:c r="A80" s="15"/>
      <x:c r="B80" s="15"/>
      <x:c r="C80" s="11"/>
      <x:c r="D80" s="2"/>
      <x:c r="E80" s="2"/>
      <x:c r="F80" s="2"/>
      <x:c r="G80" s="2"/>
      <x:c r="H80" s="2"/>
    </x:row>
    <x:row r="81" ht="32" customHeight="1">
      <x:c r="A81" s="15"/>
      <x:c r="B81" s="15"/>
      <x:c r="C81" s="11"/>
      <x:c r="D81" s="2"/>
      <x:c r="E81" s="2"/>
      <x:c r="F81" s="2"/>
      <x:c r="G81" s="2"/>
      <x:c r="H81" s="2"/>
    </x:row>
    <x:row r="82" ht="32" customHeight="1">
      <x:c r="A82" s="15"/>
      <x:c r="B82" s="15"/>
      <x:c r="C82" s="11"/>
      <x:c r="D82" s="2"/>
      <x:c r="E82" s="2"/>
      <x:c r="F82" s="2"/>
      <x:c r="G82" s="2"/>
      <x:c r="H82" s="2"/>
    </x:row>
    <x:row r="83" ht="32" customHeight="1">
      <x:c r="A83" s="15"/>
      <x:c r="B83" s="15"/>
      <x:c r="C83" s="11"/>
      <x:c r="D83" s="2"/>
      <x:c r="E83" s="2"/>
      <x:c r="F83" s="2"/>
      <x:c r="G83" s="2"/>
      <x:c r="H83" s="2"/>
    </x:row>
    <x:row r="84" ht="32" customHeight="1">
      <x:c r="A84" s="15"/>
      <x:c r="B84" s="15"/>
      <x:c r="C84" s="11"/>
      <x:c r="D84" s="2"/>
      <x:c r="E84" s="2"/>
      <x:c r="F84" s="2"/>
      <x:c r="G84" s="2"/>
      <x:c r="H84" s="2"/>
    </x:row>
    <x:row r="85" ht="32" customHeight="1">
      <x:c r="A85" s="15"/>
      <x:c r="B85" s="15"/>
      <x:c r="C85" s="11"/>
      <x:c r="D85" s="2"/>
      <x:c r="E85" s="2"/>
      <x:c r="F85" s="2"/>
      <x:c r="G85" s="2"/>
      <x:c r="H85" s="2"/>
    </x:row>
    <x:row r="86" ht="32" customHeight="1">
      <x:c r="A86" s="15"/>
      <x:c r="B86" s="15"/>
      <x:c r="C86" s="11"/>
      <x:c r="D86" s="2"/>
      <x:c r="E86" s="2"/>
      <x:c r="F86" s="2"/>
      <x:c r="G86" s="2"/>
      <x:c r="H86" s="2"/>
    </x:row>
    <x:row r="87" ht="32" customHeight="1">
      <x:c r="A87" s="15"/>
      <x:c r="B87" s="15"/>
      <x:c r="C87" s="11"/>
      <x:c r="D87" s="2"/>
      <x:c r="E87" s="2"/>
      <x:c r="F87" s="2"/>
      <x:c r="G87" s="2"/>
      <x:c r="H87" s="2"/>
    </x:row>
    <x:row r="88" ht="32" customHeight="1">
      <x:c r="A88" s="15"/>
      <x:c r="B88" s="15"/>
      <x:c r="C88" s="11"/>
      <x:c r="D88" s="2"/>
      <x:c r="E88" s="2"/>
      <x:c r="F88" s="2"/>
      <x:c r="G88" s="2"/>
      <x:c r="H88" s="2"/>
    </x:row>
    <x:row r="89" ht="32" customHeight="1">
      <x:c r="A89" s="15"/>
      <x:c r="B89" s="15"/>
      <x:c r="C89" s="11"/>
      <x:c r="D89" s="2"/>
      <x:c r="E89" s="2"/>
      <x:c r="F89" s="2"/>
      <x:c r="G89" s="2"/>
      <x:c r="H89" s="2"/>
    </x:row>
    <x:row r="90" ht="32" customHeight="1">
      <x:c r="A90" s="15"/>
      <x:c r="B90" s="15"/>
      <x:c r="C90" s="11"/>
      <x:c r="D90" s="2"/>
      <x:c r="E90" s="2"/>
      <x:c r="F90" s="2"/>
      <x:c r="G90" s="2"/>
      <x:c r="H90" s="2"/>
    </x:row>
    <x:row r="91" ht="32" customHeight="1">
      <x:c r="A91" s="15"/>
      <x:c r="B91" s="15"/>
      <x:c r="C91" s="11"/>
      <x:c r="D91" s="2"/>
      <x:c r="E91" s="2"/>
      <x:c r="F91" s="2"/>
      <x:c r="G91" s="2"/>
      <x:c r="H91" s="2"/>
    </x:row>
    <x:row r="92" ht="32" customHeight="1">
      <x:c r="A92" s="15"/>
      <x:c r="B92" s="15"/>
      <x:c r="C92" s="11"/>
      <x:c r="D92" s="2"/>
      <x:c r="E92" s="2"/>
      <x:c r="F92" s="2"/>
      <x:c r="G92" s="2"/>
      <x:c r="H92" s="2"/>
    </x:row>
    <x:row r="93" ht="32" customHeight="1">
      <x:c r="A93" s="15"/>
      <x:c r="B93" s="15"/>
      <x:c r="C93" s="11"/>
      <x:c r="D93" s="2"/>
      <x:c r="E93" s="2"/>
      <x:c r="F93" s="2"/>
      <x:c r="G93" s="2"/>
      <x:c r="H93" s="2"/>
    </x:row>
    <x:row r="94" ht="32" customHeight="1">
      <x:c r="A94" s="15"/>
      <x:c r="B94" s="15"/>
      <x:c r="C94" s="11"/>
      <x:c r="D94" s="2"/>
      <x:c r="E94" s="2"/>
      <x:c r="F94" s="2"/>
      <x:c r="G94" s="2"/>
      <x:c r="H94" s="2"/>
    </x:row>
    <x:row r="95" ht="32" customHeight="1">
      <x:c r="A95" s="15"/>
      <x:c r="B95" s="15"/>
      <x:c r="C95" s="11"/>
      <x:c r="D95" s="2"/>
      <x:c r="E95" s="2"/>
      <x:c r="F95" s="2"/>
      <x:c r="G95" s="2"/>
      <x:c r="H95" s="2"/>
    </x:row>
    <x:row r="96" ht="23" customHeight="1">
      <x:c r="A96" s="2"/>
      <x:c r="B96" s="2"/>
      <x:c r="C96" s="2"/>
      <x:c r="D96" s="2"/>
      <x:c r="E96" s="2"/>
      <x:c r="F96" s="2"/>
      <x:c r="G96" s="2"/>
      <x:c r="H96" s="2"/>
    </x:row>
    <x:row r="97" ht="23" customHeight="1">
      <x:c r="A97" s="2"/>
      <x:c r="B97" s="2"/>
      <x:c r="C97" s="2"/>
      <x:c r="D97" s="2"/>
      <x:c r="E97" s="2"/>
      <x:c r="F97" s="2"/>
      <x:c r="G97" s="2"/>
      <x:c r="H97" s="2"/>
    </x:row>
    <x:row r="98" ht="23" customHeight="1">
      <x:c r="A98" s="2"/>
      <x:c r="B98" s="2"/>
      <x:c r="C98" s="2"/>
      <x:c r="D98" s="2"/>
      <x:c r="E98" s="2"/>
      <x:c r="F98" s="2"/>
      <x:c r="G98" s="2"/>
      <x:c r="H98" s="2"/>
    </x:row>
    <x:row r="99" ht="23" customHeight="1">
      <x:c r="A99" s="2"/>
      <x:c r="B99" s="2"/>
      <x:c r="C99" s="2"/>
      <x:c r="D99" s="2"/>
      <x:c r="E99" s="2"/>
      <x:c r="F99" s="2"/>
      <x:c r="G99" s="2"/>
      <x:c r="H99" s="2"/>
    </x:row>
    <x:row r="100" ht="23" customHeight="1">
      <x:c r="A100" s="2"/>
      <x:c r="B100" s="2"/>
      <x:c r="C100" s="2"/>
      <x:c r="D100" s="2"/>
      <x:c r="E100" s="2"/>
      <x:c r="F100" s="2"/>
      <x:c r="G100" s="2"/>
      <x:c r="H100" s="2"/>
    </x:row>
    <x:row r="101" ht="23" customHeight="1">
      <x:c r="A101" s="2"/>
      <x:c r="B101" s="2"/>
      <x:c r="C101" s="2"/>
      <x:c r="D101" s="2"/>
      <x:c r="E101" s="2"/>
      <x:c r="F101" s="2"/>
      <x:c r="G101" s="2"/>
      <x:c r="H101" s="2"/>
    </x:row>
    <x:row r="102" ht="23" customHeight="1">
      <x:c r="A102" s="2"/>
      <x:c r="B102" s="2"/>
      <x:c r="C102" s="2"/>
      <x:c r="D102" s="2"/>
      <x:c r="E102" s="2"/>
      <x:c r="F102" s="2"/>
      <x:c r="G102" s="2"/>
      <x:c r="H102" s="2"/>
    </x:row>
    <x:row r="103" ht="23" customHeight="1">
      <x:c r="A103" s="2"/>
      <x:c r="B103" s="2"/>
      <x:c r="C103" s="2"/>
      <x:c r="D103" s="2"/>
      <x:c r="E103" s="2"/>
      <x:c r="F103" s="2"/>
      <x:c r="G103" s="2"/>
      <x:c r="H103" s="2"/>
    </x:row>
    <x:row r="104" ht="23" customHeight="1">
      <x:c r="A104" s="2"/>
      <x:c r="B104" s="2"/>
      <x:c r="C104" s="2"/>
      <x:c r="D104" s="2"/>
      <x:c r="E104" s="2"/>
      <x:c r="F104" s="2"/>
      <x:c r="G104" s="2"/>
      <x:c r="H104" s="2"/>
    </x:row>
    <x:row r="105" ht="23" customHeight="1">
      <x:c r="A105" s="2"/>
      <x:c r="B105" s="2"/>
      <x:c r="C105" s="2"/>
      <x:c r="D105" s="2"/>
      <x:c r="E105" s="2"/>
      <x:c r="F105" s="2"/>
      <x:c r="G105" s="2"/>
      <x:c r="H105" s="2"/>
    </x:row>
    <x:row r="106" ht="23" customHeight="1">
      <x:c r="A106" s="2"/>
      <x:c r="B106" s="2"/>
      <x:c r="C106" s="2"/>
      <x:c r="D106" s="2"/>
      <x:c r="E106" s="2"/>
      <x:c r="F106" s="2"/>
      <x:c r="G106" s="2"/>
      <x:c r="H106" s="2"/>
    </x:row>
    <x:row r="107" ht="23" customHeight="1">
      <x:c r="A107" s="2"/>
      <x:c r="B107" s="2"/>
      <x:c r="C107" s="2"/>
      <x:c r="D107" s="2"/>
      <x:c r="E107" s="2"/>
      <x:c r="F107" s="2"/>
      <x:c r="G107" s="2"/>
      <x:c r="H107" s="2"/>
    </x:row>
    <x:row r="108" ht="23" customHeight="1">
      <x:c r="A108" s="2"/>
      <x:c r="B108" s="2"/>
      <x:c r="C108" s="2"/>
      <x:c r="D108" s="2"/>
      <x:c r="E108" s="2"/>
      <x:c r="F108" s="2"/>
      <x:c r="G108" s="2"/>
      <x:c r="H108" s="2"/>
    </x:row>
    <x:row r="109" ht="23" customHeight="1">
      <x:c r="A109" s="2"/>
      <x:c r="B109" s="2"/>
      <x:c r="C109" s="2"/>
      <x:c r="D109" s="2"/>
      <x:c r="E109" s="2"/>
      <x:c r="F109" s="2"/>
      <x:c r="G109" s="2"/>
      <x:c r="H109" s="2"/>
    </x:row>
    <x:row r="110" ht="23" customHeight="1">
      <x:c r="A110" s="2"/>
      <x:c r="B110" s="2"/>
      <x:c r="C110" s="2"/>
      <x:c r="D110" s="2"/>
      <x:c r="E110" s="2"/>
      <x:c r="F110" s="2"/>
      <x:c r="G110" s="2"/>
      <x:c r="H110" s="2"/>
    </x:row>
  </x:sheetData>
  <x:dataValidations count="2">
    <x:dataValidation type="list" sqref="B5">
      <x:formula1>"Fundament,Good to have · Auswahl,Good to have · Komplett,Nice to have · Auswahl"</x:formula1>
    </x:dataValidation>
    <x:dataValidation type="decimal" operator="between" sqref="B9">
      <x:formula1>0</x:formula1>
      <x:formula2>0.3</x:formula2>
    </x:dataValidation>
  </x:dataValidations>
  <x:pageMargins left="0.7" right="0.7" top="0.75" bottom="0.75" header="0.3" footer="0.3"/>
</x:worksheet>
</file>

<file path=xl/worksheets/sheet2.xml><?xml version="1.0" encoding="utf-8"?>
<x:worksheet xmlns:x="http://schemas.openxmlformats.org/spreadsheetml/2006/main">
  <x:sheetPr>
    <x:tabColor rgb="FF087F85"/>
  </x:sheetPr>
  <x:sheetViews>
    <x:sheetView showGridLines="0" workbookViewId="0">
      <x:pane xSplit="2" ySplit="6" topLeftCell="C7" activePane="bottomRight" state="frozen"/>
    </x:sheetView>
  </x:sheetViews>
  <x:sheetFormatPr defaultRowHeight="15"/>
  <x:cols>
    <x:col min="1" max="1" width="15" hidden="0" customWidth="1"/>
    <x:col min="2" max="2" width="31" hidden="0" customWidth="1"/>
    <x:col min="3" max="3" width="20" hidden="0" customWidth="1"/>
    <x:col min="4" max="4" width="18" hidden="0" customWidth="1"/>
    <x:col min="5" max="5" width="14" hidden="0" customWidth="1"/>
    <x:col min="6" max="6" width="12" hidden="0" customWidth="1"/>
    <x:col min="7" max="7" width="17" hidden="0" customWidth="1"/>
    <x:col min="8" max="8" width="30" hidden="0" customWidth="1"/>
    <x:col min="9" max="9" width="35" hidden="0" customWidth="1"/>
    <x:col min="10" max="10" width="18" hidden="0" customWidth="1"/>
    <x:col min="11" max="11" width="16" hidden="0" customWidth="1"/>
    <x:col min="12" max="12" width="20" hidden="0" customWidth="1"/>
    <x:col min="13" max="13" width="13" hidden="0" customWidth="1"/>
    <x:col min="14" max="14" width="18" hidden="0" customWidth="1"/>
    <x:col min="15" max="15" width="17" hidden="0" customWidth="1"/>
    <x:col min="16" max="16" width="21" hidden="0" customWidth="1"/>
    <x:col min="17" max="17" width="17" hidden="0" customWidth="1"/>
    <x:col min="18" max="18" width="18" hidden="0" customWidth="1"/>
    <x:col min="19" max="19" width="18" hidden="0" customWidth="1"/>
    <x:col min="20" max="20" width="12" hidden="0" customWidth="1"/>
    <x:col min="21" max="21" width="23" hidden="0" customWidth="1"/>
  </x:cols>
  <x:sheetData>
    <x:row r="1" ht="23" customHeight="1">
      <x:c r="A1" s="2"/>
      <x:c r="B1" s="2"/>
      <x:c r="C1" s="2"/>
      <x:c r="D1" s="2"/>
      <x:c r="E1" s="2"/>
      <x:c r="F1" s="2"/>
      <x:c r="G1" s="2"/>
      <x:c r="H1" s="2"/>
      <x:c r="I1" s="2"/>
      <x:c r="J1" s="2"/>
      <x:c r="K1" s="2"/>
      <x:c r="L1" s="2"/>
      <x:c r="M1" s="2"/>
      <x:c r="N1" s="2"/>
      <x:c r="O1" s="2"/>
      <x:c r="P1" s="2"/>
      <x:c r="Q1" s="2"/>
      <x:c r="R1" s="2"/>
      <x:c r="S1" s="2"/>
      <x:c r="T1" s="2"/>
      <x:c r="U1" s="2"/>
    </x:row>
    <x:row r="2" ht="30" customHeight="1">
      <x:c r="A2" s="3" t="str">
        <x:v>Module auswählen</x:v>
      </x:c>
      <x:c r="B2" s="3"/>
      <x:c r="C2" s="3"/>
      <x:c r="D2" s="3"/>
      <x:c r="E2" s="3"/>
      <x:c r="F2" s="3"/>
      <x:c r="G2" s="3"/>
      <x:c r="H2" s="3"/>
      <x:c r="I2" s="3"/>
      <x:c r="J2" s="3"/>
      <x:c r="K2" s="3"/>
      <x:c r="L2" s="3"/>
      <x:c r="M2" s="3"/>
      <x:c r="N2" s="2"/>
      <x:c r="O2" s="2"/>
      <x:c r="P2" s="2"/>
      <x:c r="Q2" s="2"/>
      <x:c r="R2" s="2"/>
      <x:c r="S2" s="2"/>
      <x:c r="T2" s="2"/>
      <x:c r="U2" s="2"/>
    </x:row>
    <x:row r="3" ht="23" customHeight="1">
      <x:c r="A3" s="4"/>
      <x:c r="B3" s="4"/>
      <x:c r="C3" s="4"/>
      <x:c r="D3" s="4"/>
      <x:c r="E3" s="4"/>
      <x:c r="F3" s="4"/>
      <x:c r="G3" s="4"/>
      <x:c r="H3" s="4"/>
      <x:c r="I3" s="4"/>
      <x:c r="J3" s="4"/>
      <x:c r="K3" s="4"/>
      <x:c r="L3" s="4"/>
      <x:c r="M3" s="4"/>
      <x:c r="N3" s="2"/>
      <x:c r="O3" s="2"/>
      <x:c r="P3" s="2"/>
      <x:c r="Q3" s="2"/>
      <x:c r="R3" s="2"/>
      <x:c r="S3" s="2"/>
      <x:c r="T3" s="2"/>
      <x:c r="U3" s="2"/>
    </x:row>
    <x:row r="4" ht="23" customHeight="1">
      <x:c r="A4" s="2" t="str">
        <x:v>Aktives Paket</x:v>
      </x:c>
      <x:c r="B4" s="19" t="str">
        <x:f>'Budget'!B5</x:f>
        <x:v>Fundament</x:v>
      </x:c>
      <x:c r="C4" s="2"/>
      <x:c r="D4" s="20" t="str">
        <x:v>Plattform-Zuordnung zum Fundament noch offen.</x:v>
      </x:c>
      <x:c r="E4" s="2"/>
      <x:c r="F4" s="2"/>
      <x:c r="G4" s="2"/>
      <x:c r="H4" s="2"/>
      <x:c r="I4" s="2"/>
      <x:c r="J4" s="2"/>
      <x:c r="K4" s="2"/>
      <x:c r="L4" s="2"/>
      <x:c r="M4" s="2"/>
      <x:c r="N4" s="2"/>
      <x:c r="O4" s="2"/>
      <x:c r="P4" s="2"/>
      <x:c r="Q4" s="2"/>
      <x:c r="R4" s="2"/>
      <x:c r="S4" s="2"/>
      <x:c r="T4" s="2"/>
      <x:c r="U4" s="2"/>
    </x:row>
    <x:row r="5" ht="23" customHeight="1">
      <x:c r="A5" s="2" t="str">
        <x:v>Gelbe Felder: Paket = Vorgabe übernehmen, Ja = ergänzen, Nein = abwählen. Benötigte Voraussetzungen bleiben automatisch enthalten.</x:v>
      </x:c>
      <x:c r="B5" s="2"/>
      <x:c r="C5" s="2"/>
      <x:c r="D5" s="2"/>
      <x:c r="E5" s="2"/>
      <x:c r="F5" s="2"/>
      <x:c r="G5" s="2"/>
      <x:c r="H5" s="2"/>
      <x:c r="I5" s="2"/>
      <x:c r="J5" s="2"/>
      <x:c r="K5" s="2"/>
      <x:c r="L5" s="2"/>
      <x:c r="M5" s="2"/>
      <x:c r="N5" s="2"/>
      <x:c r="O5" s="2"/>
      <x:c r="P5" s="2"/>
      <x:c r="Q5" s="2"/>
      <x:c r="R5" s="2"/>
      <x:c r="S5" s="2"/>
      <x:c r="T5" s="2"/>
      <x:c r="U5" s="2"/>
    </x:row>
    <x:row r="6" ht="30" customHeight="1">
      <x:c r="A6" s="8" t="str">
        <x:v>ID</x:v>
      </x:c>
      <x:c r="B6" s="8" t="str">
        <x:v>Modul</x:v>
      </x:c>
      <x:c r="C6" s="8" t="str">
        <x:v>Kategorie</x:v>
      </x:c>
      <x:c r="D6" s="8" t="str">
        <x:v>Richtwert brutto</x:v>
      </x:c>
      <x:c r="E6" s="8" t="str">
        <x:v>Ihre Auswahl</x:v>
      </x:c>
      <x:c r="F6" s="8" t="str">
        <x:v>Enthalten</x:v>
      </x:c>
      <x:c r="G6" s="8" t="str">
        <x:v>Gewählter Richtwert</x:v>
      </x:c>
      <x:c r="H6" s="8" t="str">
        <x:v>Auswahlgrund</x:v>
      </x:c>
      <x:c r="I6" s="8" t="str">
        <x:v>Voraussetzungen</x:v>
      </x:c>
      <x:c r="J6" s="8" t="str">
        <x:v>Orientierungsmonat</x:v>
      </x:c>
      <x:c r="K6" s="8" t="str">
        <x:v>Direktauswahl</x:v>
      </x:c>
      <x:c r="L6" s="8" t="str">
        <x:v>Position in Auswahl</x:v>
      </x:c>
      <x:c r="M6" s="8" t="str">
        <x:v>Im Paket</x:v>
      </x:c>
      <x:c r="N6" s="8" t="str">
        <x:v>Regulärer Richtwert brutto</x:v>
      </x:c>
      <x:c r="O6" s="8" t="str">
        <x:v>Rabattbetrag</x:v>
      </x:c>
      <x:c r="P6" s="8" t="str">
        <x:v>Preismodell</x:v>
      </x:c>
      <x:c r="Q6" s="8" t="str">
        <x:v>Budgetkapazität PT</x:v>
      </x:c>
      <x:c r="R6" s="8" t="str">
        <x:v>Auswahl regulär</x:v>
      </x:c>
      <x:c r="S6" s="8" t="str">
        <x:v>Auswahl Rabatt</x:v>
      </x:c>
      <x:c r="T6" s="8" t="str">
        <x:v>Laufend</x:v>
      </x:c>
      <x:c r="U6" s="8" t="str">
        <x:v>Zeitgewicht der Auswahl</x:v>
      </x:c>
    </x:row>
    <x:row r="7" ht="36" customHeight="1">
      <x:c r="A7" s="25" t="str">
        <x:v>core</x:v>
      </x:c>
      <x:c r="B7" s="26" t="str">
        <x:f>INDEX('Leistungskatalog'!$B$7:$B$41,MATCH($A7,'Leistungskatalog'!$A$7:$A$41,0))</x:f>
        <x:v>Spielbarer Lernkern</x:v>
      </x:c>
      <x:c r="C7" s="26" t="str">
        <x:f>INDEX('Leistungskatalog'!$C$7:$C$41,MATCH($A7,'Leistungskatalog'!$A$7:$A$41,0))</x:f>
        <x:v>Fundament</x:v>
      </x:c>
      <x:c r="D7" s="27" t="n">
        <x:f>IF(P7="Arbeitsleistung",IF(ISNUMBER('Budget'!$B$10),ROUND(N7*(1-'Budget'!$B$9),2),NA()),N7)</x:f>
        <x:v>30000</x:v>
      </x:c>
      <x:c r="E7" s="21" t="str">
        <x:v>Fest</x:v>
      </x:c>
      <x:c r="F7" s="9" t="str">
        <x:f>IF(OR(K7=1),"Ja","Nein")</x:f>
        <x:v>Ja</x:v>
      </x:c>
      <x:c r="G7" s="12" t="n">
        <x:f>IF(F7="Ja",D7,0)</x:f>
        <x:v>30000</x:v>
      </x:c>
      <x:c r="H7" s="13" t="str">
        <x:f>"Fester Projektkern"</x:f>
        <x:v>Fester Projektkern</x:v>
      </x:c>
      <x:c r="I7" s="13" t="str">
        <x:v>Keine</x:v>
      </x:c>
      <x:c r="J7" s="25" t="n">
        <x:f>INDEX('Leistungskatalog'!$G$7:$G$41,MATCH($A7,'Leistungskatalog'!$A$7:$A$41,0))</x:f>
        <x:v>6</x:v>
      </x:c>
      <x:c r="K7" s="9" t="n">
        <x:f>1</x:f>
        <x:v>1</x:v>
      </x:c>
      <x:c r="L7" s="9" t="n">
        <x:f>IF(F7="Ja",COUNTIFS($F$7:F7,"Ja"),"")</x:f>
        <x:v>1</x:v>
      </x:c>
      <x:c r="M7" s="9" t="n">
        <x:f>INDEX('Leistungskatalog'!$L$7:$O$41,MATCH($A7,'Leistungskatalog'!$A$7:$A$41,0),'Budget'!$B$6)</x:f>
        <x:v>1</x:v>
      </x:c>
      <x:c r="N7" s="12" t="n">
        <x:f>INDEX('Leistungskatalog'!$D$7:$D$41,MATCH($A7,'Leistungskatalog'!$A$7:$A$41,0))</x:f>
        <x:v>37500</x:v>
      </x:c>
      <x:c r="O7" s="12" t="n">
        <x:f>ROUND(N7-D7,2)</x:f>
        <x:v>7500</x:v>
      </x:c>
      <x:c r="P7" s="9" t="str">
        <x:f>INDEX('Leistungskatalog'!$R$7:$R$41,MATCH($A7,'Leistungskatalog'!$A$7:$A$41,0))</x:f>
        <x:v>Arbeitsleistung</x:v>
      </x:c>
      <x:c r="Q7" s="24" t="n">
        <x:f>INDEX('Leistungskatalog'!$S$7:$S$41,MATCH($A7,'Leistungskatalog'!$A$7:$A$41,0))</x:f>
        <x:v>39.0625</x:v>
      </x:c>
      <x:c r="R7" s="12" t="n">
        <x:f>IF(F7="Ja",N7,0)</x:f>
        <x:v>37500</x:v>
      </x:c>
      <x:c r="S7" s="12" t="n">
        <x:f>IF(F7="Ja",O7,0)</x:f>
        <x:v>7500</x:v>
      </x:c>
      <x:c r="T7" s="9" t="str">
        <x:f>INDEX('Leistungskatalog'!$J$7:$J$41,MATCH($A7,'Leistungskatalog'!$A$7:$A$41,0))</x:f>
        <x:v>Nein</x:v>
      </x:c>
      <x:c r="U7" s="24" t="n">
        <x:f>IF(AND(F7="Ja",T7="Nein"),INDEX('Leistungskatalog'!$T$7:$T$41,MATCH($A7,'Leistungskatalog'!$A$7:$A$41,0))/1000,0)</x:f>
        <x:v>30</x:v>
      </x:c>
    </x:row>
    <x:row r="8" ht="36" customHeight="1">
      <x:c r="A8" s="19" t="str">
        <x:v>worlds</x:v>
      </x:c>
      <x:c r="B8" s="28" t="str">
        <x:f>INDEX('Leistungskatalog'!$B$7:$B$41,MATCH($A8,'Leistungskatalog'!$A$7:$A$41,0))</x:f>
        <x:v>6 regionale Lernorte</x:v>
      </x:c>
      <x:c r="C8" s="28" t="str">
        <x:f>INDEX('Leistungskatalog'!$C$7:$C$41,MATCH($A8,'Leistungskatalog'!$A$7:$A$41,0))</x:f>
        <x:v>Fundament</x:v>
      </x:c>
      <x:c r="D8" s="29" t="n">
        <x:f>IF(P8="Arbeitsleistung",IF(ISNUMBER('Budget'!$B$10),ROUND(N8*(1-'Budget'!$B$9),2),NA()),N8)</x:f>
        <x:v>38000</x:v>
      </x:c>
      <x:c r="E8" s="21" t="str">
        <x:v>Fest</x:v>
      </x:c>
      <x:c r="F8" s="2" t="str">
        <x:f>IF(OR(K8=1),"Ja","Nein")</x:f>
        <x:v>Ja</x:v>
      </x:c>
      <x:c r="G8" s="11" t="n">
        <x:f>IF(F8="Ja",D8,0)</x:f>
        <x:v>38000</x:v>
      </x:c>
      <x:c r="H8" s="15" t="str">
        <x:f>"Fester Projektkern"</x:f>
        <x:v>Fester Projektkern</x:v>
      </x:c>
      <x:c r="I8" s="15" t="str">
        <x:v>Keine</x:v>
      </x:c>
      <x:c r="J8" s="19" t="n">
        <x:f>INDEX('Leistungskatalog'!$G$7:$G$41,MATCH($A8,'Leistungskatalog'!$A$7:$A$41,0))</x:f>
        <x:v>12</x:v>
      </x:c>
      <x:c r="K8" s="2" t="n">
        <x:f>1</x:f>
        <x:v>1</x:v>
      </x:c>
      <x:c r="L8" s="2" t="n">
        <x:f>IF(F8="Ja",COUNTIFS($F$7:F8,"Ja"),"")</x:f>
        <x:v>2</x:v>
      </x:c>
      <x:c r="M8" s="2" t="n">
        <x:f>INDEX('Leistungskatalog'!$L$7:$O$41,MATCH($A8,'Leistungskatalog'!$A$7:$A$41,0),'Budget'!$B$6)</x:f>
        <x:v>1</x:v>
      </x:c>
      <x:c r="N8" s="11" t="n">
        <x:f>INDEX('Leistungskatalog'!$D$7:$D$41,MATCH($A8,'Leistungskatalog'!$A$7:$A$41,0))</x:f>
        <x:v>47500</x:v>
      </x:c>
      <x:c r="O8" s="11" t="n">
        <x:f>ROUND(N8-D8,2)</x:f>
        <x:v>9500</x:v>
      </x:c>
      <x:c r="P8" s="2" t="str">
        <x:f>INDEX('Leistungskatalog'!$R$7:$R$41,MATCH($A8,'Leistungskatalog'!$A$7:$A$41,0))</x:f>
        <x:v>Arbeitsleistung</x:v>
      </x:c>
      <x:c r="Q8" s="10" t="n">
        <x:f>INDEX('Leistungskatalog'!$S$7:$S$41,MATCH($A8,'Leistungskatalog'!$A$7:$A$41,0))</x:f>
        <x:v>49.479166666666664</x:v>
      </x:c>
      <x:c r="R8" s="11" t="n">
        <x:f>IF(F8="Ja",N8,0)</x:f>
        <x:v>47500</x:v>
      </x:c>
      <x:c r="S8" s="11" t="n">
        <x:f>IF(F8="Ja",O8,0)</x:f>
        <x:v>9500</x:v>
      </x:c>
      <x:c r="T8" s="2" t="str">
        <x:f>INDEX('Leistungskatalog'!$J$7:$J$41,MATCH($A8,'Leistungskatalog'!$A$7:$A$41,0))</x:f>
        <x:v>Nein</x:v>
      </x:c>
      <x:c r="U8" s="10" t="n">
        <x:f>IF(AND(F8="Ja",T8="Nein"),INDEX('Leistungskatalog'!$T$7:$T$41,MATCH($A8,'Leistungskatalog'!$A$7:$A$41,0))/1000,0)</x:f>
        <x:v>38</x:v>
      </x:c>
    </x:row>
    <x:row r="9" ht="36" customHeight="1">
      <x:c r="A9" s="25" t="str">
        <x:v>fish</x:v>
      </x:c>
      <x:c r="B9" s="26" t="str">
        <x:f>INDEX('Leistungskatalog'!$B$7:$B$41,MATCH($A9,'Leistungskatalog'!$A$7:$A$41,0))</x:f>
        <x:v>Fische &amp; Fischlexikon</x:v>
      </x:c>
      <x:c r="C9" s="26" t="str">
        <x:f>INDEX('Leistungskatalog'!$C$7:$C$41,MATCH($A9,'Leistungskatalog'!$A$7:$A$41,0))</x:f>
        <x:v>Fundament</x:v>
      </x:c>
      <x:c r="D9" s="27" t="n">
        <x:f>IF(P9="Arbeitsleistung",IF(ISNUMBER('Budget'!$B$10),ROUND(N9*(1-'Budget'!$B$9),2),NA()),N9)</x:f>
        <x:v>14000</x:v>
      </x:c>
      <x:c r="E9" s="21" t="str">
        <x:v>Fest</x:v>
      </x:c>
      <x:c r="F9" s="9" t="str">
        <x:f>IF(OR(K9=1),"Ja","Nein")</x:f>
        <x:v>Ja</x:v>
      </x:c>
      <x:c r="G9" s="12" t="n">
        <x:f>IF(F9="Ja",D9,0)</x:f>
        <x:v>14000</x:v>
      </x:c>
      <x:c r="H9" s="13" t="str">
        <x:f>"Fester Projektkern"</x:f>
        <x:v>Fester Projektkern</x:v>
      </x:c>
      <x:c r="I9" s="13" t="str">
        <x:v>Keine</x:v>
      </x:c>
      <x:c r="J9" s="25" t="n">
        <x:f>INDEX('Leistungskatalog'!$G$7:$G$41,MATCH($A9,'Leistungskatalog'!$A$7:$A$41,0))</x:f>
        <x:v>12</x:v>
      </x:c>
      <x:c r="K9" s="9" t="n">
        <x:f>1</x:f>
        <x:v>1</x:v>
      </x:c>
      <x:c r="L9" s="9" t="n">
        <x:f>IF(F9="Ja",COUNTIFS($F$7:F9,"Ja"),"")</x:f>
        <x:v>3</x:v>
      </x:c>
      <x:c r="M9" s="9" t="n">
        <x:f>INDEX('Leistungskatalog'!$L$7:$O$41,MATCH($A9,'Leistungskatalog'!$A$7:$A$41,0),'Budget'!$B$6)</x:f>
        <x:v>1</x:v>
      </x:c>
      <x:c r="N9" s="12" t="n">
        <x:f>INDEX('Leistungskatalog'!$D$7:$D$41,MATCH($A9,'Leistungskatalog'!$A$7:$A$41,0))</x:f>
        <x:v>17500</x:v>
      </x:c>
      <x:c r="O9" s="12" t="n">
        <x:f>ROUND(N9-D9,2)</x:f>
        <x:v>3500</x:v>
      </x:c>
      <x:c r="P9" s="9" t="str">
        <x:f>INDEX('Leistungskatalog'!$R$7:$R$41,MATCH($A9,'Leistungskatalog'!$A$7:$A$41,0))</x:f>
        <x:v>Arbeitsleistung</x:v>
      </x:c>
      <x:c r="Q9" s="24" t="n">
        <x:f>INDEX('Leistungskatalog'!$S$7:$S$41,MATCH($A9,'Leistungskatalog'!$A$7:$A$41,0))</x:f>
        <x:v>18.229166666666668</x:v>
      </x:c>
      <x:c r="R9" s="12" t="n">
        <x:f>IF(F9="Ja",N9,0)</x:f>
        <x:v>17500</x:v>
      </x:c>
      <x:c r="S9" s="12" t="n">
        <x:f>IF(F9="Ja",O9,0)</x:f>
        <x:v>3500</x:v>
      </x:c>
      <x:c r="T9" s="9" t="str">
        <x:f>INDEX('Leistungskatalog'!$J$7:$J$41,MATCH($A9,'Leistungskatalog'!$A$7:$A$41,0))</x:f>
        <x:v>Nein</x:v>
      </x:c>
      <x:c r="U9" s="24" t="n">
        <x:f>IF(AND(F9="Ja",T9="Nein"),INDEX('Leistungskatalog'!$T$7:$T$41,MATCH($A9,'Leistungskatalog'!$A$7:$A$41,0))/1000,0)</x:f>
        <x:v>14</x:v>
      </x:c>
    </x:row>
    <x:row r="10" ht="36" customHeight="1">
      <x:c r="A10" s="19" t="str">
        <x:v>book</x:v>
      </x:c>
      <x:c r="B10" s="28" t="str">
        <x:f>INDEX('Leistungskatalog'!$B$7:$B$41,MATCH($A10,'Leistungskatalog'!$A$7:$A$41,0))</x:f>
        <x:v>Angelbuch &amp; Prüfungsvorbereitung</x:v>
      </x:c>
      <x:c r="C10" s="28" t="str">
        <x:f>INDEX('Leistungskatalog'!$C$7:$C$41,MATCH($A10,'Leistungskatalog'!$A$7:$A$41,0))</x:f>
        <x:v>Fundament</x:v>
      </x:c>
      <x:c r="D10" s="29" t="n">
        <x:f>IF(P10="Arbeitsleistung",IF(ISNUMBER('Budget'!$B$10),ROUND(N10*(1-'Budget'!$B$9),2),NA()),N10)</x:f>
        <x:v>24000</x:v>
      </x:c>
      <x:c r="E10" s="21" t="str">
        <x:v>Fest</x:v>
      </x:c>
      <x:c r="F10" s="2" t="str">
        <x:f>IF(OR(K10=1),"Ja","Nein")</x:f>
        <x:v>Ja</x:v>
      </x:c>
      <x:c r="G10" s="11" t="n">
        <x:f>IF(F10="Ja",D10,0)</x:f>
        <x:v>24000</x:v>
      </x:c>
      <x:c r="H10" s="15" t="str">
        <x:f>"Fester Projektkern"</x:f>
        <x:v>Fester Projektkern</x:v>
      </x:c>
      <x:c r="I10" s="15" t="str">
        <x:v>Keine</x:v>
      </x:c>
      <x:c r="J10" s="19" t="n">
        <x:f>INDEX('Leistungskatalog'!$G$7:$G$41,MATCH($A10,'Leistungskatalog'!$A$7:$A$41,0))</x:f>
        <x:v>12</x:v>
      </x:c>
      <x:c r="K10" s="2" t="n">
        <x:f>1</x:f>
        <x:v>1</x:v>
      </x:c>
      <x:c r="L10" s="2" t="n">
        <x:f>IF(F10="Ja",COUNTIFS($F$7:F10,"Ja"),"")</x:f>
        <x:v>4</x:v>
      </x:c>
      <x:c r="M10" s="2" t="n">
        <x:f>INDEX('Leistungskatalog'!$L$7:$O$41,MATCH($A10,'Leistungskatalog'!$A$7:$A$41,0),'Budget'!$B$6)</x:f>
        <x:v>1</x:v>
      </x:c>
      <x:c r="N10" s="11" t="n">
        <x:f>INDEX('Leistungskatalog'!$D$7:$D$41,MATCH($A10,'Leistungskatalog'!$A$7:$A$41,0))</x:f>
        <x:v>30000</x:v>
      </x:c>
      <x:c r="O10" s="11" t="n">
        <x:f>ROUND(N10-D10,2)</x:f>
        <x:v>6000</x:v>
      </x:c>
      <x:c r="P10" s="2" t="str">
        <x:f>INDEX('Leistungskatalog'!$R$7:$R$41,MATCH($A10,'Leistungskatalog'!$A$7:$A$41,0))</x:f>
        <x:v>Arbeitsleistung</x:v>
      </x:c>
      <x:c r="Q10" s="10" t="n">
        <x:f>INDEX('Leistungskatalog'!$S$7:$S$41,MATCH($A10,'Leistungskatalog'!$A$7:$A$41,0))</x:f>
        <x:v>31.25</x:v>
      </x:c>
      <x:c r="R10" s="11" t="n">
        <x:f>IF(F10="Ja",N10,0)</x:f>
        <x:v>30000</x:v>
      </x:c>
      <x:c r="S10" s="11" t="n">
        <x:f>IF(F10="Ja",O10,0)</x:f>
        <x:v>6000</x:v>
      </x:c>
      <x:c r="T10" s="2" t="str">
        <x:f>INDEX('Leistungskatalog'!$J$7:$J$41,MATCH($A10,'Leistungskatalog'!$A$7:$A$41,0))</x:f>
        <x:v>Nein</x:v>
      </x:c>
      <x:c r="U10" s="10" t="n">
        <x:f>IF(AND(F10="Ja",T10="Nein"),INDEX('Leistungskatalog'!$T$7:$T$41,MATCH($A10,'Leistungskatalog'!$A$7:$A$41,0))/1000,0)</x:f>
        <x:v>24</x:v>
      </x:c>
    </x:row>
    <x:row r="11" ht="36" customHeight="1">
      <x:c r="A11" s="25" t="str">
        <x:v>accounts</x:v>
      </x:c>
      <x:c r="B11" s="26" t="str">
        <x:f>INDEX('Leistungskatalog'!$B$7:$B$41,MATCH($A11,'Leistungskatalog'!$A$7:$A$41,0))</x:f>
        <x:v>Nutzerkonten &amp; Lernfortschritt</x:v>
      </x:c>
      <x:c r="C11" s="26" t="str">
        <x:f>INDEX('Leistungskatalog'!$C$7:$C$41,MATCH($A11,'Leistungskatalog'!$A$7:$A$41,0))</x:f>
        <x:v>Fundament</x:v>
      </x:c>
      <x:c r="D11" s="27" t="n">
        <x:f>IF(P11="Arbeitsleistung",IF(ISNUMBER('Budget'!$B$10),ROUND(N11*(1-'Budget'!$B$9),2),NA()),N11)</x:f>
        <x:v>20000</x:v>
      </x:c>
      <x:c r="E11" s="21" t="str">
        <x:v>Fest</x:v>
      </x:c>
      <x:c r="F11" s="9" t="str">
        <x:f>IF(OR(K11=1),"Ja","Nein")</x:f>
        <x:v>Ja</x:v>
      </x:c>
      <x:c r="G11" s="12" t="n">
        <x:f>IF(F11="Ja",D11,0)</x:f>
        <x:v>20000</x:v>
      </x:c>
      <x:c r="H11" s="13" t="str">
        <x:f>"Fester Projektkern"</x:f>
        <x:v>Fester Projektkern</x:v>
      </x:c>
      <x:c r="I11" s="13" t="str">
        <x:v>Keine</x:v>
      </x:c>
      <x:c r="J11" s="25" t="n">
        <x:f>INDEX('Leistungskatalog'!$G$7:$G$41,MATCH($A11,'Leistungskatalog'!$A$7:$A$41,0))</x:f>
        <x:v>6</x:v>
      </x:c>
      <x:c r="K11" s="9" t="n">
        <x:f>1</x:f>
        <x:v>1</x:v>
      </x:c>
      <x:c r="L11" s="9" t="n">
        <x:f>IF(F11="Ja",COUNTIFS($F$7:F11,"Ja"),"")</x:f>
        <x:v>5</x:v>
      </x:c>
      <x:c r="M11" s="9" t="n">
        <x:f>INDEX('Leistungskatalog'!$L$7:$O$41,MATCH($A11,'Leistungskatalog'!$A$7:$A$41,0),'Budget'!$B$6)</x:f>
        <x:v>1</x:v>
      </x:c>
      <x:c r="N11" s="12" t="n">
        <x:f>INDEX('Leistungskatalog'!$D$7:$D$41,MATCH($A11,'Leistungskatalog'!$A$7:$A$41,0))</x:f>
        <x:v>25000</x:v>
      </x:c>
      <x:c r="O11" s="12" t="n">
        <x:f>ROUND(N11-D11,2)</x:f>
        <x:v>5000</x:v>
      </x:c>
      <x:c r="P11" s="9" t="str">
        <x:f>INDEX('Leistungskatalog'!$R$7:$R$41,MATCH($A11,'Leistungskatalog'!$A$7:$A$41,0))</x:f>
        <x:v>Arbeitsleistung</x:v>
      </x:c>
      <x:c r="Q11" s="24" t="n">
        <x:f>INDEX('Leistungskatalog'!$S$7:$S$41,MATCH($A11,'Leistungskatalog'!$A$7:$A$41,0))</x:f>
        <x:v>26.041666666666668</x:v>
      </x:c>
      <x:c r="R11" s="12" t="n">
        <x:f>IF(F11="Ja",N11,0)</x:f>
        <x:v>25000</x:v>
      </x:c>
      <x:c r="S11" s="12" t="n">
        <x:f>IF(F11="Ja",O11,0)</x:f>
        <x:v>5000</x:v>
      </x:c>
      <x:c r="T11" s="9" t="str">
        <x:f>INDEX('Leistungskatalog'!$J$7:$J$41,MATCH($A11,'Leistungskatalog'!$A$7:$A$41,0))</x:f>
        <x:v>Nein</x:v>
      </x:c>
      <x:c r="U11" s="24" t="n">
        <x:f>IF(AND(F11="Ja",T11="Nein"),INDEX('Leistungskatalog'!$T$7:$T$41,MATCH($A11,'Leistungskatalog'!$A$7:$A$41,0))/1000,0)</x:f>
        <x:v>20</x:v>
      </x:c>
    </x:row>
    <x:row r="12" ht="36" customHeight="1">
      <x:c r="A12" s="19" t="str">
        <x:v>dashboard</x:v>
      </x:c>
      <x:c r="B12" s="28" t="str">
        <x:f>INDEX('Leistungskatalog'!$B$7:$B$41,MATCH($A12,'Leistungskatalog'!$A$7:$A$41,0))</x:f>
        <x:v>Betreuungs-Dashboard</x:v>
      </x:c>
      <x:c r="C12" s="28" t="str">
        <x:f>INDEX('Leistungskatalog'!$C$7:$C$41,MATCH($A12,'Leistungskatalog'!$A$7:$A$41,0))</x:f>
        <x:v>Fundament</x:v>
      </x:c>
      <x:c r="D12" s="29" t="n">
        <x:f>IF(P12="Arbeitsleistung",IF(ISNUMBER('Budget'!$B$10),ROUND(N12*(1-'Budget'!$B$9),2),NA()),N12)</x:f>
        <x:v>10000</x:v>
      </x:c>
      <x:c r="E12" s="21" t="str">
        <x:v>Fest</x:v>
      </x:c>
      <x:c r="F12" s="2" t="str">
        <x:f>IF(OR(K12=1),"Ja","Nein")</x:f>
        <x:v>Ja</x:v>
      </x:c>
      <x:c r="G12" s="11" t="n">
        <x:f>IF(F12="Ja",D12,0)</x:f>
        <x:v>10000</x:v>
      </x:c>
      <x:c r="H12" s="15" t="str">
        <x:f>"Fester Projektkern"</x:f>
        <x:v>Fester Projektkern</x:v>
      </x:c>
      <x:c r="I12" s="15" t="str">
        <x:v>Keine</x:v>
      </x:c>
      <x:c r="J12" s="19" t="n">
        <x:f>INDEX('Leistungskatalog'!$G$7:$G$41,MATCH($A12,'Leistungskatalog'!$A$7:$A$41,0))</x:f>
        <x:v>9</x:v>
      </x:c>
      <x:c r="K12" s="2" t="n">
        <x:f>1</x:f>
        <x:v>1</x:v>
      </x:c>
      <x:c r="L12" s="2" t="n">
        <x:f>IF(F12="Ja",COUNTIFS($F$7:F12,"Ja"),"")</x:f>
        <x:v>6</x:v>
      </x:c>
      <x:c r="M12" s="2" t="n">
        <x:f>INDEX('Leistungskatalog'!$L$7:$O$41,MATCH($A12,'Leistungskatalog'!$A$7:$A$41,0),'Budget'!$B$6)</x:f>
        <x:v>1</x:v>
      </x:c>
      <x:c r="N12" s="11" t="n">
        <x:f>INDEX('Leistungskatalog'!$D$7:$D$41,MATCH($A12,'Leistungskatalog'!$A$7:$A$41,0))</x:f>
        <x:v>12500</x:v>
      </x:c>
      <x:c r="O12" s="11" t="n">
        <x:f>ROUND(N12-D12,2)</x:f>
        <x:v>2500</x:v>
      </x:c>
      <x:c r="P12" s="2" t="str">
        <x:f>INDEX('Leistungskatalog'!$R$7:$R$41,MATCH($A12,'Leistungskatalog'!$A$7:$A$41,0))</x:f>
        <x:v>Arbeitsleistung</x:v>
      </x:c>
      <x:c r="Q12" s="10" t="n">
        <x:f>INDEX('Leistungskatalog'!$S$7:$S$41,MATCH($A12,'Leistungskatalog'!$A$7:$A$41,0))</x:f>
        <x:v>13.020833333333334</x:v>
      </x:c>
      <x:c r="R12" s="11" t="n">
        <x:f>IF(F12="Ja",N12,0)</x:f>
        <x:v>12500</x:v>
      </x:c>
      <x:c r="S12" s="11" t="n">
        <x:f>IF(F12="Ja",O12,0)</x:f>
        <x:v>2500</x:v>
      </x:c>
      <x:c r="T12" s="2" t="str">
        <x:f>INDEX('Leistungskatalog'!$J$7:$J$41,MATCH($A12,'Leistungskatalog'!$A$7:$A$41,0))</x:f>
        <x:v>Nein</x:v>
      </x:c>
      <x:c r="U12" s="10" t="n">
        <x:f>IF(AND(F12="Ja",T12="Nein"),INDEX('Leistungskatalog'!$T$7:$T$41,MATCH($A12,'Leistungskatalog'!$A$7:$A$41,0))/1000,0)</x:f>
        <x:v>10</x:v>
      </x:c>
    </x:row>
    <x:row r="13" ht="36" customHeight="1">
      <x:c r="A13" s="25" t="str">
        <x:v>privacy</x:v>
      </x:c>
      <x:c r="B13" s="26" t="str">
        <x:f>INDEX('Leistungskatalog'!$B$7:$B$41,MATCH($A13,'Leistungskatalog'!$A$7:$A$41,0))</x:f>
        <x:v>Datenschutz &amp; Schutzkonzept</x:v>
      </x:c>
      <x:c r="C13" s="26" t="str">
        <x:f>INDEX('Leistungskatalog'!$C$7:$C$41,MATCH($A13,'Leistungskatalog'!$A$7:$A$41,0))</x:f>
        <x:v>Fundament</x:v>
      </x:c>
      <x:c r="D13" s="27" t="n">
        <x:f>IF(P13="Arbeitsleistung",IF(ISNUMBER('Budget'!$B$10),ROUND(N13*(1-'Budget'!$B$9),2),NA()),N13)</x:f>
        <x:v>10000</x:v>
      </x:c>
      <x:c r="E13" s="21" t="str">
        <x:v>Fest</x:v>
      </x:c>
      <x:c r="F13" s="9" t="str">
        <x:f>IF(OR(K13=1),"Ja","Nein")</x:f>
        <x:v>Ja</x:v>
      </x:c>
      <x:c r="G13" s="12" t="n">
        <x:f>IF(F13="Ja",D13,0)</x:f>
        <x:v>10000</x:v>
      </x:c>
      <x:c r="H13" s="13" t="str">
        <x:f>"Fester Projektkern"</x:f>
        <x:v>Fester Projektkern</x:v>
      </x:c>
      <x:c r="I13" s="13" t="str">
        <x:v>Keine</x:v>
      </x:c>
      <x:c r="J13" s="25" t="n">
        <x:f>INDEX('Leistungskatalog'!$G$7:$G$41,MATCH($A13,'Leistungskatalog'!$A$7:$A$41,0))</x:f>
        <x:v>6</x:v>
      </x:c>
      <x:c r="K13" s="9" t="n">
        <x:f>1</x:f>
        <x:v>1</x:v>
      </x:c>
      <x:c r="L13" s="9" t="n">
        <x:f>IF(F13="Ja",COUNTIFS($F$7:F13,"Ja"),"")</x:f>
        <x:v>7</x:v>
      </x:c>
      <x:c r="M13" s="9" t="n">
        <x:f>INDEX('Leistungskatalog'!$L$7:$O$41,MATCH($A13,'Leistungskatalog'!$A$7:$A$41,0),'Budget'!$B$6)</x:f>
        <x:v>1</x:v>
      </x:c>
      <x:c r="N13" s="12" t="n">
        <x:f>INDEX('Leistungskatalog'!$D$7:$D$41,MATCH($A13,'Leistungskatalog'!$A$7:$A$41,0))</x:f>
        <x:v>12500</x:v>
      </x:c>
      <x:c r="O13" s="12" t="n">
        <x:f>ROUND(N13-D13,2)</x:f>
        <x:v>2500</x:v>
      </x:c>
      <x:c r="P13" s="9" t="str">
        <x:f>INDEX('Leistungskatalog'!$R$7:$R$41,MATCH($A13,'Leistungskatalog'!$A$7:$A$41,0))</x:f>
        <x:v>Arbeitsleistung</x:v>
      </x:c>
      <x:c r="Q13" s="24" t="n">
        <x:f>INDEX('Leistungskatalog'!$S$7:$S$41,MATCH($A13,'Leistungskatalog'!$A$7:$A$41,0))</x:f>
        <x:v>13.020833333333334</x:v>
      </x:c>
      <x:c r="R13" s="12" t="n">
        <x:f>IF(F13="Ja",N13,0)</x:f>
        <x:v>12500</x:v>
      </x:c>
      <x:c r="S13" s="12" t="n">
        <x:f>IF(F13="Ja",O13,0)</x:f>
        <x:v>2500</x:v>
      </x:c>
      <x:c r="T13" s="9" t="str">
        <x:f>INDEX('Leistungskatalog'!$J$7:$J$41,MATCH($A13,'Leistungskatalog'!$A$7:$A$41,0))</x:f>
        <x:v>Nein</x:v>
      </x:c>
      <x:c r="U13" s="24" t="n">
        <x:f>IF(AND(F13="Ja",T13="Nein"),INDEX('Leistungskatalog'!$T$7:$T$41,MATCH($A13,'Leistungskatalog'!$A$7:$A$41,0))/1000,0)</x:f>
        <x:v>10</x:v>
      </x:c>
    </x:row>
    <x:row r="14" ht="36" customHeight="1">
      <x:c r="A14" s="19" t="str">
        <x:v>devices</x:v>
      </x:c>
      <x:c r="B14" s="28" t="str">
        <x:f>INDEX('Leistungskatalog'!$B$7:$B$41,MATCH($A14,'Leistungskatalog'!$A$7:$A$41,0))</x:f>
        <x:v>Laptop &amp; Tablet</x:v>
      </x:c>
      <x:c r="C14" s="28" t="str">
        <x:f>INDEX('Leistungskatalog'!$C$7:$C$41,MATCH($A14,'Leistungskatalog'!$A$7:$A$41,0))</x:f>
        <x:v>Fundament</x:v>
      </x:c>
      <x:c r="D14" s="29" t="n">
        <x:f>IF(P14="Arbeitsleistung",IF(ISNUMBER('Budget'!$B$10),ROUND(N14*(1-'Budget'!$B$9),2),NA()),N14)</x:f>
        <x:v>10000</x:v>
      </x:c>
      <x:c r="E14" s="21" t="str">
        <x:v>Fest</x:v>
      </x:c>
      <x:c r="F14" s="2" t="str">
        <x:f>IF(OR(K14=1),"Ja","Nein")</x:f>
        <x:v>Ja</x:v>
      </x:c>
      <x:c r="G14" s="11" t="n">
        <x:f>IF(F14="Ja",D14,0)</x:f>
        <x:v>10000</x:v>
      </x:c>
      <x:c r="H14" s="15" t="str">
        <x:f>"Fester Projektkern"</x:f>
        <x:v>Fester Projektkern</x:v>
      </x:c>
      <x:c r="I14" s="15" t="str">
        <x:v>Keine</x:v>
      </x:c>
      <x:c r="J14" s="19" t="n">
        <x:f>INDEX('Leistungskatalog'!$G$7:$G$41,MATCH($A14,'Leistungskatalog'!$A$7:$A$41,0))</x:f>
        <x:v>9</x:v>
      </x:c>
      <x:c r="K14" s="2" t="n">
        <x:f>1</x:f>
        <x:v>1</x:v>
      </x:c>
      <x:c r="L14" s="2" t="n">
        <x:f>IF(F14="Ja",COUNTIFS($F$7:F14,"Ja"),"")</x:f>
        <x:v>8</x:v>
      </x:c>
      <x:c r="M14" s="2" t="n">
        <x:f>INDEX('Leistungskatalog'!$L$7:$O$41,MATCH($A14,'Leistungskatalog'!$A$7:$A$41,0),'Budget'!$B$6)</x:f>
        <x:v>1</x:v>
      </x:c>
      <x:c r="N14" s="11" t="n">
        <x:f>INDEX('Leistungskatalog'!$D$7:$D$41,MATCH($A14,'Leistungskatalog'!$A$7:$A$41,0))</x:f>
        <x:v>12500</x:v>
      </x:c>
      <x:c r="O14" s="11" t="n">
        <x:f>ROUND(N14-D14,2)</x:f>
        <x:v>2500</x:v>
      </x:c>
      <x:c r="P14" s="2" t="str">
        <x:f>INDEX('Leistungskatalog'!$R$7:$R$41,MATCH($A14,'Leistungskatalog'!$A$7:$A$41,0))</x:f>
        <x:v>Arbeitsleistung</x:v>
      </x:c>
      <x:c r="Q14" s="10" t="n">
        <x:f>INDEX('Leistungskatalog'!$S$7:$S$41,MATCH($A14,'Leistungskatalog'!$A$7:$A$41,0))</x:f>
        <x:v>13.020833333333334</x:v>
      </x:c>
      <x:c r="R14" s="11" t="n">
        <x:f>IF(F14="Ja",N14,0)</x:f>
        <x:v>12500</x:v>
      </x:c>
      <x:c r="S14" s="11" t="n">
        <x:f>IF(F14="Ja",O14,0)</x:f>
        <x:v>2500</x:v>
      </x:c>
      <x:c r="T14" s="2" t="str">
        <x:f>INDEX('Leistungskatalog'!$J$7:$J$41,MATCH($A14,'Leistungskatalog'!$A$7:$A$41,0))</x:f>
        <x:v>Nein</x:v>
      </x:c>
      <x:c r="U14" s="10" t="n">
        <x:f>IF(AND(F14="Ja",T14="Nein"),INDEX('Leistungskatalog'!$T$7:$T$41,MATCH($A14,'Leistungskatalog'!$A$7:$A$41,0))/1000,0)</x:f>
        <x:v>10</x:v>
      </x:c>
    </x:row>
    <x:row r="15" ht="36" customHeight="1">
      <x:c r="A15" s="25" t="str">
        <x:v>qa</x:v>
      </x:c>
      <x:c r="B15" s="26" t="str">
        <x:f>INDEX('Leistungskatalog'!$B$7:$B$41,MATCH($A15,'Leistungskatalog'!$A$7:$A$41,0))</x:f>
        <x:v>Tests &amp; Qualitätssicherung</x:v>
      </x:c>
      <x:c r="C15" s="26" t="str">
        <x:f>INDEX('Leistungskatalog'!$C$7:$C$41,MATCH($A15,'Leistungskatalog'!$A$7:$A$41,0))</x:f>
        <x:v>Fundament</x:v>
      </x:c>
      <x:c r="D15" s="27" t="n">
        <x:f>IF(P15="Arbeitsleistung",IF(ISNUMBER('Budget'!$B$10),ROUND(N15*(1-'Budget'!$B$9),2),NA()),N15)</x:f>
        <x:v>16000</x:v>
      </x:c>
      <x:c r="E15" s="21" t="str">
        <x:v>Fest</x:v>
      </x:c>
      <x:c r="F15" s="9" t="str">
        <x:f>IF(OR(K15=1),"Ja","Nein")</x:f>
        <x:v>Ja</x:v>
      </x:c>
      <x:c r="G15" s="12" t="n">
        <x:f>IF(F15="Ja",D15,0)</x:f>
        <x:v>16000</x:v>
      </x:c>
      <x:c r="H15" s="13" t="str">
        <x:f>"Fester Projektkern"</x:f>
        <x:v>Fester Projektkern</x:v>
      </x:c>
      <x:c r="I15" s="13" t="str">
        <x:v>Keine</x:v>
      </x:c>
      <x:c r="J15" s="25" t="n">
        <x:f>INDEX('Leistungskatalog'!$G$7:$G$41,MATCH($A15,'Leistungskatalog'!$A$7:$A$41,0))</x:f>
        <x:v>12</x:v>
      </x:c>
      <x:c r="K15" s="9" t="n">
        <x:f>1</x:f>
        <x:v>1</x:v>
      </x:c>
      <x:c r="L15" s="9" t="n">
        <x:f>IF(F15="Ja",COUNTIFS($F$7:F15,"Ja"),"")</x:f>
        <x:v>9</x:v>
      </x:c>
      <x:c r="M15" s="9" t="n">
        <x:f>INDEX('Leistungskatalog'!$L$7:$O$41,MATCH($A15,'Leistungskatalog'!$A$7:$A$41,0),'Budget'!$B$6)</x:f>
        <x:v>1</x:v>
      </x:c>
      <x:c r="N15" s="12" t="n">
        <x:f>INDEX('Leistungskatalog'!$D$7:$D$41,MATCH($A15,'Leistungskatalog'!$A$7:$A$41,0))</x:f>
        <x:v>20000</x:v>
      </x:c>
      <x:c r="O15" s="12" t="n">
        <x:f>ROUND(N15-D15,2)</x:f>
        <x:v>4000</x:v>
      </x:c>
      <x:c r="P15" s="9" t="str">
        <x:f>INDEX('Leistungskatalog'!$R$7:$R$41,MATCH($A15,'Leistungskatalog'!$A$7:$A$41,0))</x:f>
        <x:v>Arbeitsleistung</x:v>
      </x:c>
      <x:c r="Q15" s="24" t="n">
        <x:f>INDEX('Leistungskatalog'!$S$7:$S$41,MATCH($A15,'Leistungskatalog'!$A$7:$A$41,0))</x:f>
        <x:v>20.833333333333332</x:v>
      </x:c>
      <x:c r="R15" s="12" t="n">
        <x:f>IF(F15="Ja",N15,0)</x:f>
        <x:v>20000</x:v>
      </x:c>
      <x:c r="S15" s="12" t="n">
        <x:f>IF(F15="Ja",O15,0)</x:f>
        <x:v>4000</x:v>
      </x:c>
      <x:c r="T15" s="9" t="str">
        <x:f>INDEX('Leistungskatalog'!$J$7:$J$41,MATCH($A15,'Leistungskatalog'!$A$7:$A$41,0))</x:f>
        <x:v>Nein</x:v>
      </x:c>
      <x:c r="U15" s="24" t="n">
        <x:f>IF(AND(F15="Ja",T15="Nein"),INDEX('Leistungskatalog'!$T$7:$T$41,MATCH($A15,'Leistungskatalog'!$A$7:$A$41,0))/1000,0)</x:f>
        <x:v>16</x:v>
      </x:c>
    </x:row>
    <x:row r="16" ht="36" customHeight="1">
      <x:c r="A16" s="19" t="str">
        <x:v>collab</x:v>
      </x:c>
      <x:c r="B16" s="28" t="str">
        <x:f>INDEX('Leistungskatalog'!$B$7:$B$41,MATCH($A16,'Leistungskatalog'!$A$7:$A$41,0))</x:f>
        <x:v>Gemeinsame Projektsteuerung</x:v>
      </x:c>
      <x:c r="C16" s="28" t="str">
        <x:f>INDEX('Leistungskatalog'!$C$7:$C$41,MATCH($A16,'Leistungskatalog'!$A$7:$A$41,0))</x:f>
        <x:v>Fundament</x:v>
      </x:c>
      <x:c r="D16" s="29" t="n">
        <x:f>IF(P16="Arbeitsleistung",IF(ISNUMBER('Budget'!$B$10),ROUND(N16*(1-'Budget'!$B$9),2),NA()),N16)</x:f>
        <x:v>8000</x:v>
      </x:c>
      <x:c r="E16" s="21" t="str">
        <x:v>Fest</x:v>
      </x:c>
      <x:c r="F16" s="2" t="str">
        <x:f>IF(OR(K16=1),"Ja","Nein")</x:f>
        <x:v>Ja</x:v>
      </x:c>
      <x:c r="G16" s="11" t="n">
        <x:f>IF(F16="Ja",D16,0)</x:f>
        <x:v>8000</x:v>
      </x:c>
      <x:c r="H16" s="15" t="str">
        <x:f>"Fester Projektkern"</x:f>
        <x:v>Fester Projektkern</x:v>
      </x:c>
      <x:c r="I16" s="15" t="str">
        <x:v>Keine</x:v>
      </x:c>
      <x:c r="J16" s="19" t="n">
        <x:f>INDEX('Leistungskatalog'!$G$7:$G$41,MATCH($A16,'Leistungskatalog'!$A$7:$A$41,0))</x:f>
        <x:v>24</x:v>
      </x:c>
      <x:c r="K16" s="2" t="n">
        <x:f>1</x:f>
        <x:v>1</x:v>
      </x:c>
      <x:c r="L16" s="2" t="n">
        <x:f>IF(F16="Ja",COUNTIFS($F$7:F16,"Ja"),"")</x:f>
        <x:v>10</x:v>
      </x:c>
      <x:c r="M16" s="2" t="n">
        <x:f>INDEX('Leistungskatalog'!$L$7:$O$41,MATCH($A16,'Leistungskatalog'!$A$7:$A$41,0),'Budget'!$B$6)</x:f>
        <x:v>1</x:v>
      </x:c>
      <x:c r="N16" s="11" t="n">
        <x:f>INDEX('Leistungskatalog'!$D$7:$D$41,MATCH($A16,'Leistungskatalog'!$A$7:$A$41,0))</x:f>
        <x:v>10000</x:v>
      </x:c>
      <x:c r="O16" s="11" t="n">
        <x:f>ROUND(N16-D16,2)</x:f>
        <x:v>2000</x:v>
      </x:c>
      <x:c r="P16" s="2" t="str">
        <x:f>INDEX('Leistungskatalog'!$R$7:$R$41,MATCH($A16,'Leistungskatalog'!$A$7:$A$41,0))</x:f>
        <x:v>Arbeitsleistung</x:v>
      </x:c>
      <x:c r="Q16" s="10" t="n">
        <x:f>INDEX('Leistungskatalog'!$S$7:$S$41,MATCH($A16,'Leistungskatalog'!$A$7:$A$41,0))</x:f>
        <x:v>10.416666666666666</x:v>
      </x:c>
      <x:c r="R16" s="11" t="n">
        <x:f>IF(F16="Ja",N16,0)</x:f>
        <x:v>10000</x:v>
      </x:c>
      <x:c r="S16" s="11" t="n">
        <x:f>IF(F16="Ja",O16,0)</x:f>
        <x:v>2000</x:v>
      </x:c>
      <x:c r="T16" s="2" t="str">
        <x:f>INDEX('Leistungskatalog'!$J$7:$J$41,MATCH($A16,'Leistungskatalog'!$A$7:$A$41,0))</x:f>
        <x:v>Ja</x:v>
      </x:c>
      <x:c r="U16" s="10" t="n">
        <x:f>IF(AND(F16="Ja",T16="Nein"),INDEX('Leistungskatalog'!$T$7:$T$41,MATCH($A16,'Leistungskatalog'!$A$7:$A$41,0))/1000,0)</x:f>
        <x:v>0</x:v>
      </x:c>
    </x:row>
    <x:row r="17" ht="36" customHeight="1">
      <x:c r="A17" s="25" t="str">
        <x:v>care</x:v>
      </x:c>
      <x:c r="B17" s="26" t="str">
        <x:f>INDEX('Leistungskatalog'!$B$7:$B$41,MATCH($A17,'Leistungskatalog'!$A$7:$A$41,0))</x:f>
        <x:v>Pflege bis Monat 36</x:v>
      </x:c>
      <x:c r="C17" s="26" t="str">
        <x:f>INDEX('Leistungskatalog'!$C$7:$C$41,MATCH($A17,'Leistungskatalog'!$A$7:$A$41,0))</x:f>
        <x:v>Fundament</x:v>
      </x:c>
      <x:c r="D17" s="27" t="n">
        <x:f>IF(P17="Arbeitsleistung",IF(ISNUMBER('Budget'!$B$10),ROUND(N17*(1-'Budget'!$B$9),2),NA()),N17)</x:f>
        <x:v>20000</x:v>
      </x:c>
      <x:c r="E17" s="21" t="str">
        <x:v>Fest</x:v>
      </x:c>
      <x:c r="F17" s="9" t="str">
        <x:f>IF(OR(K17=1),"Ja","Nein")</x:f>
        <x:v>Ja</x:v>
      </x:c>
      <x:c r="G17" s="12" t="n">
        <x:f>IF(F17="Ja",D17,0)</x:f>
        <x:v>20000</x:v>
      </x:c>
      <x:c r="H17" s="13" t="str">
        <x:f>"Fester Projektkern"</x:f>
        <x:v>Fester Projektkern</x:v>
      </x:c>
      <x:c r="I17" s="13" t="str">
        <x:v>Keine</x:v>
      </x:c>
      <x:c r="J17" s="25" t="n">
        <x:f>INDEX('Leistungskatalog'!$G$7:$G$41,MATCH($A17,'Leistungskatalog'!$A$7:$A$41,0))</x:f>
        <x:v>36</x:v>
      </x:c>
      <x:c r="K17" s="9" t="n">
        <x:f>1</x:f>
        <x:v>1</x:v>
      </x:c>
      <x:c r="L17" s="9" t="n">
        <x:f>IF(F17="Ja",COUNTIFS($F$7:F17,"Ja"),"")</x:f>
        <x:v>11</x:v>
      </x:c>
      <x:c r="M17" s="9" t="n">
        <x:f>INDEX('Leistungskatalog'!$L$7:$O$41,MATCH($A17,'Leistungskatalog'!$A$7:$A$41,0),'Budget'!$B$6)</x:f>
        <x:v>1</x:v>
      </x:c>
      <x:c r="N17" s="12" t="n">
        <x:f>INDEX('Leistungskatalog'!$D$7:$D$41,MATCH($A17,'Leistungskatalog'!$A$7:$A$41,0))</x:f>
        <x:v>25000</x:v>
      </x:c>
      <x:c r="O17" s="12" t="n">
        <x:f>ROUND(N17-D17,2)</x:f>
        <x:v>5000</x:v>
      </x:c>
      <x:c r="P17" s="9" t="str">
        <x:f>INDEX('Leistungskatalog'!$R$7:$R$41,MATCH($A17,'Leistungskatalog'!$A$7:$A$41,0))</x:f>
        <x:v>Arbeitsleistung</x:v>
      </x:c>
      <x:c r="Q17" s="24" t="n">
        <x:f>INDEX('Leistungskatalog'!$S$7:$S$41,MATCH($A17,'Leistungskatalog'!$A$7:$A$41,0))</x:f>
        <x:v>26.041666666666668</x:v>
      </x:c>
      <x:c r="R17" s="12" t="n">
        <x:f>IF(F17="Ja",N17,0)</x:f>
        <x:v>25000</x:v>
      </x:c>
      <x:c r="S17" s="12" t="n">
        <x:f>IF(F17="Ja",O17,0)</x:f>
        <x:v>5000</x:v>
      </x:c>
      <x:c r="T17" s="9" t="str">
        <x:f>INDEX('Leistungskatalog'!$J$7:$J$41,MATCH($A17,'Leistungskatalog'!$A$7:$A$41,0))</x:f>
        <x:v>Ja</x:v>
      </x:c>
      <x:c r="U17" s="24" t="n">
        <x:f>IF(AND(F17="Ja",T17="Nein"),INDEX('Leistungskatalog'!$T$7:$T$41,MATCH($A17,'Leistungskatalog'!$A$7:$A$41,0))/1000,0)</x:f>
        <x:v>0</x:v>
      </x:c>
    </x:row>
    <x:row r="18" ht="36" customHeight="1">
      <x:c r="A18" s="19" t="str">
        <x:v>depth</x:v>
      </x:c>
      <x:c r="B18" s="28" t="str">
        <x:f>INDEX('Leistungskatalog'!$B$7:$B$41,MATCH($A18,'Leistungskatalog'!$A$7:$A$41,0))</x:f>
        <x:v>Zusätzliche Lerninhalte &amp; Quests</x:v>
      </x:c>
      <x:c r="C18" s="28" t="str">
        <x:f>INDEX('Leistungskatalog'!$C$7:$C$41,MATCH($A18,'Leistungskatalog'!$A$7:$A$41,0))</x:f>
        <x:v>Good to have</x:v>
      </x:c>
      <x:c r="D18" s="29" t="n">
        <x:f>IF(P18="Arbeitsleistung",IF(ISNUMBER('Budget'!$B$10),ROUND(N18*(1-'Budget'!$B$9),2),NA()),N18)</x:f>
        <x:v>20000</x:v>
      </x:c>
      <x:c r="E18" s="23" t="str">
        <x:v>Paket</x:v>
      </x:c>
      <x:c r="F18" s="2" t="str">
        <x:f>IF(OR(K18=1),"Ja","Nein")</x:f>
        <x:v>Nein</x:v>
      </x:c>
      <x:c r="G18" s="11" t="n">
        <x:f>IF(F18="Ja",D18,0)</x:f>
        <x:v>0</x:v>
      </x:c>
      <x:c r="H18" s="15" t="str">
        <x:f>IF(F18="Nein","Nicht ausgewählt",IF(K18=0,"Automatisch: Voraussetzung",IF(E18="Ja","Individuell ergänzt","Im gewählten Paket")))</x:f>
        <x:v>Nicht ausgewählt</x:v>
      </x:c>
      <x:c r="I18" s="15" t="str">
        <x:v>Keine</x:v>
      </x:c>
      <x:c r="J18" s="19" t="n">
        <x:f>INDEX('Leistungskatalog'!$G$7:$G$41,MATCH($A18,'Leistungskatalog'!$A$7:$A$41,0))</x:f>
        <x:v>15</x:v>
      </x:c>
      <x:c r="K18" s="2" t="n">
        <x:f>IF(E18="Ja",1,IF(E18="Nein",0,IF(E18="Paket",M18,NA())))</x:f>
        <x:v>0</x:v>
      </x:c>
      <x:c r="L18" s="2" t="str">
        <x:f>IF(F18="Ja",COUNTIFS($F$7:F18,"Ja"),"")</x:f>
      </x:c>
      <x:c r="M18" s="2" t="n">
        <x:f>INDEX('Leistungskatalog'!$L$7:$O$41,MATCH($A18,'Leistungskatalog'!$A$7:$A$41,0),'Budget'!$B$6)</x:f>
        <x:v>0</x:v>
      </x:c>
      <x:c r="N18" s="11" t="n">
        <x:f>INDEX('Leistungskatalog'!$D$7:$D$41,MATCH($A18,'Leistungskatalog'!$A$7:$A$41,0))</x:f>
        <x:v>25000</x:v>
      </x:c>
      <x:c r="O18" s="11" t="n">
        <x:f>ROUND(N18-D18,2)</x:f>
        <x:v>5000</x:v>
      </x:c>
      <x:c r="P18" s="2" t="str">
        <x:f>INDEX('Leistungskatalog'!$R$7:$R$41,MATCH($A18,'Leistungskatalog'!$A$7:$A$41,0))</x:f>
        <x:v>Arbeitsleistung</x:v>
      </x:c>
      <x:c r="Q18" s="10" t="n">
        <x:f>INDEX('Leistungskatalog'!$S$7:$S$41,MATCH($A18,'Leistungskatalog'!$A$7:$A$41,0))</x:f>
        <x:v>26.041666666666668</x:v>
      </x:c>
      <x:c r="R18" s="11" t="n">
        <x:f>IF(F18="Ja",N18,0)</x:f>
        <x:v>0</x:v>
      </x:c>
      <x:c r="S18" s="11" t="n">
        <x:f>IF(F18="Ja",O18,0)</x:f>
        <x:v>0</x:v>
      </x:c>
      <x:c r="T18" s="2" t="str">
        <x:f>INDEX('Leistungskatalog'!$J$7:$J$41,MATCH($A18,'Leistungskatalog'!$A$7:$A$41,0))</x:f>
        <x:v>Nein</x:v>
      </x:c>
      <x:c r="U18" s="10" t="n">
        <x:f>IF(AND(F18="Ja",T18="Nein"),INDEX('Leistungskatalog'!$T$7:$T$41,MATCH($A18,'Leistungskatalog'!$A$7:$A$41,0))/1000,0)</x:f>
        <x:v>0</x:v>
      </x:c>
    </x:row>
    <x:row r="19" ht="36" customHeight="1">
      <x:c r="A19" s="25" t="str">
        <x:v>nature</x:v>
      </x:c>
      <x:c r="B19" s="26" t="str">
        <x:f>INDEX('Leistungskatalog'!$B$7:$B$41,MATCH($A19,'Leistungskatalog'!$A$7:$A$41,0))</x:f>
        <x:v>Insekten &amp; Vögel</x:v>
      </x:c>
      <x:c r="C19" s="26" t="str">
        <x:f>INDEX('Leistungskatalog'!$C$7:$C$41,MATCH($A19,'Leistungskatalog'!$A$7:$A$41,0))</x:f>
        <x:v>Good to have</x:v>
      </x:c>
      <x:c r="D19" s="27" t="n">
        <x:f>IF(P19="Arbeitsleistung",IF(ISNUMBER('Budget'!$B$10),ROUND(N19*(1-'Budget'!$B$9),2),NA()),N19)</x:f>
        <x:v>6000</x:v>
      </x:c>
      <x:c r="E19" s="23" t="str">
        <x:v>Paket</x:v>
      </x:c>
      <x:c r="F19" s="9" t="str">
        <x:f>IF(OR(K19=1),"Ja","Nein")</x:f>
        <x:v>Nein</x:v>
      </x:c>
      <x:c r="G19" s="12" t="n">
        <x:f>IF(F19="Ja",D19,0)</x:f>
        <x:v>0</x:v>
      </x:c>
      <x:c r="H19" s="13" t="str">
        <x:f>IF(F19="Nein","Nicht ausgewählt",IF(K19=0,"Automatisch: Voraussetzung",IF(E19="Ja","Individuell ergänzt","Im gewählten Paket")))</x:f>
        <x:v>Nicht ausgewählt</x:v>
      </x:c>
      <x:c r="I19" s="13" t="str">
        <x:v>Keine</x:v>
      </x:c>
      <x:c r="J19" s="25" t="n">
        <x:f>INDEX('Leistungskatalog'!$G$7:$G$41,MATCH($A19,'Leistungskatalog'!$A$7:$A$41,0))</x:f>
        <x:v>15</x:v>
      </x:c>
      <x:c r="K19" s="9" t="n">
        <x:f>IF(E19="Ja",1,IF(E19="Nein",0,IF(E19="Paket",M19,NA())))</x:f>
        <x:v>0</x:v>
      </x:c>
      <x:c r="L19" s="9" t="str">
        <x:f>IF(F19="Ja",COUNTIFS($F$7:F19,"Ja"),"")</x:f>
      </x:c>
      <x:c r="M19" s="9" t="n">
        <x:f>INDEX('Leistungskatalog'!$L$7:$O$41,MATCH($A19,'Leistungskatalog'!$A$7:$A$41,0),'Budget'!$B$6)</x:f>
        <x:v>0</x:v>
      </x:c>
      <x:c r="N19" s="12" t="n">
        <x:f>INDEX('Leistungskatalog'!$D$7:$D$41,MATCH($A19,'Leistungskatalog'!$A$7:$A$41,0))</x:f>
        <x:v>6000</x:v>
      </x:c>
      <x:c r="O19" s="12" t="n">
        <x:f>ROUND(N19-D19,2)</x:f>
        <x:v>0</x:v>
      </x:c>
      <x:c r="P19" s="9" t="str">
        <x:f>INDEX('Leistungskatalog'!$R$7:$R$41,MATCH($A19,'Leistungskatalog'!$A$7:$A$41,0))</x:f>
        <x:v>Mischkostentopf</x:v>
      </x:c>
      <x:c r="Q19" s="24" t="str">
        <x:f>INDEX('Leistungskatalog'!$S$7:$S$41,MATCH($A19,'Leistungskatalog'!$A$7:$A$41,0))</x:f>
        <x:v>Nicht aufgeteilt</x:v>
      </x:c>
      <x:c r="R19" s="12" t="n">
        <x:f>IF(F19="Ja",N19,0)</x:f>
        <x:v>0</x:v>
      </x:c>
      <x:c r="S19" s="12" t="n">
        <x:f>IF(F19="Ja",O19,0)</x:f>
        <x:v>0</x:v>
      </x:c>
      <x:c r="T19" s="9" t="str">
        <x:f>INDEX('Leistungskatalog'!$J$7:$J$41,MATCH($A19,'Leistungskatalog'!$A$7:$A$41,0))</x:f>
        <x:v>Nein</x:v>
      </x:c>
      <x:c r="U19" s="24" t="n">
        <x:f>IF(AND(F19="Ja",T19="Nein"),INDEX('Leistungskatalog'!$T$7:$T$41,MATCH($A19,'Leistungskatalog'!$A$7:$A$41,0))/1000,0)</x:f>
        <x:v>0</x:v>
      </x:c>
    </x:row>
    <x:row r="20" ht="36" customHeight="1">
      <x:c r="A20" s="19" t="str">
        <x:v>ageqa</x:v>
      </x:c>
      <x:c r="B20" s="28" t="str">
        <x:f>INDEX('Leistungskatalog'!$B$7:$B$41,MATCH($A20,'Leistungskatalog'!$A$7:$A$41,0))</x:f>
        <x:v>Playtests &amp; Feedback-Updates</x:v>
      </x:c>
      <x:c r="C20" s="28" t="str">
        <x:f>INDEX('Leistungskatalog'!$C$7:$C$41,MATCH($A20,'Leistungskatalog'!$A$7:$A$41,0))</x:f>
        <x:v>Good to have</x:v>
      </x:c>
      <x:c r="D20" s="29" t="n">
        <x:f>IF(P20="Arbeitsleistung",IF(ISNUMBER('Budget'!$B$10),ROUND(N20*(1-'Budget'!$B$9),2),NA()),N20)</x:f>
        <x:v>14000</x:v>
      </x:c>
      <x:c r="E20" s="23" t="str">
        <x:v>Paket</x:v>
      </x:c>
      <x:c r="F20" s="2" t="str">
        <x:f>IF(OR(K20=1),"Ja","Nein")</x:f>
        <x:v>Nein</x:v>
      </x:c>
      <x:c r="G20" s="11" t="n">
        <x:f>IF(F20="Ja",D20,0)</x:f>
        <x:v>0</x:v>
      </x:c>
      <x:c r="H20" s="15" t="str">
        <x:f>IF(F20="Nein","Nicht ausgewählt",IF(K20=0,"Automatisch: Voraussetzung",IF(E20="Ja","Individuell ergänzt","Im gewählten Paket")))</x:f>
        <x:v>Nicht ausgewählt</x:v>
      </x:c>
      <x:c r="I20" s="15" t="str">
        <x:v>Keine</x:v>
      </x:c>
      <x:c r="J20" s="19" t="n">
        <x:f>INDEX('Leistungskatalog'!$G$7:$G$41,MATCH($A20,'Leistungskatalog'!$A$7:$A$41,0))</x:f>
        <x:v>24</x:v>
      </x:c>
      <x:c r="K20" s="2" t="n">
        <x:f>IF(E20="Ja",1,IF(E20="Nein",0,IF(E20="Paket",M20,NA())))</x:f>
        <x:v>0</x:v>
      </x:c>
      <x:c r="L20" s="2" t="str">
        <x:f>IF(F20="Ja",COUNTIFS($F$7:F20,"Ja"),"")</x:f>
      </x:c>
      <x:c r="M20" s="2" t="n">
        <x:f>INDEX('Leistungskatalog'!$L$7:$O$41,MATCH($A20,'Leistungskatalog'!$A$7:$A$41,0),'Budget'!$B$6)</x:f>
        <x:v>0</x:v>
      </x:c>
      <x:c r="N20" s="11" t="n">
        <x:f>INDEX('Leistungskatalog'!$D$7:$D$41,MATCH($A20,'Leistungskatalog'!$A$7:$A$41,0))</x:f>
        <x:v>17500</x:v>
      </x:c>
      <x:c r="O20" s="11" t="n">
        <x:f>ROUND(N20-D20,2)</x:f>
        <x:v>3500</x:v>
      </x:c>
      <x:c r="P20" s="2" t="str">
        <x:f>INDEX('Leistungskatalog'!$R$7:$R$41,MATCH($A20,'Leistungskatalog'!$A$7:$A$41,0))</x:f>
        <x:v>Arbeitsleistung</x:v>
      </x:c>
      <x:c r="Q20" s="10" t="n">
        <x:f>INDEX('Leistungskatalog'!$S$7:$S$41,MATCH($A20,'Leistungskatalog'!$A$7:$A$41,0))</x:f>
        <x:v>18.229166666666668</x:v>
      </x:c>
      <x:c r="R20" s="11" t="n">
        <x:f>IF(F20="Ja",N20,0)</x:f>
        <x:v>0</x:v>
      </x:c>
      <x:c r="S20" s="11" t="n">
        <x:f>IF(F20="Ja",O20,0)</x:f>
        <x:v>0</x:v>
      </x:c>
      <x:c r="T20" s="2" t="str">
        <x:f>INDEX('Leistungskatalog'!$J$7:$J$41,MATCH($A20,'Leistungskatalog'!$A$7:$A$41,0))</x:f>
        <x:v>Nein</x:v>
      </x:c>
      <x:c r="U20" s="10" t="n">
        <x:f>IF(AND(F20="Ja",T20="Nein"),INDEX('Leistungskatalog'!$T$7:$T$41,MATCH($A20,'Leistungskatalog'!$A$7:$A$41,0))/1000,0)</x:f>
        <x:v>0</x:v>
      </x:c>
    </x:row>
    <x:row r="21" ht="36" customHeight="1">
      <x:c r="A21" s="25" t="str">
        <x:v>story</x:v>
      </x:c>
      <x:c r="B21" s="26" t="str">
        <x:f>INDEX('Leistungskatalog'!$B$7:$B$41,MATCH($A21,'Leistungskatalog'!$A$7:$A$41,0))</x:f>
        <x:v>Figuren, Geschichte &amp; Animationen</x:v>
      </x:c>
      <x:c r="C21" s="26" t="str">
        <x:f>INDEX('Leistungskatalog'!$C$7:$C$41,MATCH($A21,'Leistungskatalog'!$A$7:$A$41,0))</x:f>
        <x:v>Good to have</x:v>
      </x:c>
      <x:c r="D21" s="27" t="n">
        <x:f>IF(P21="Arbeitsleistung",IF(ISNUMBER('Budget'!$B$10),ROUND(N21*(1-'Budget'!$B$9),2),NA()),N21)</x:f>
        <x:v>22000</x:v>
      </x:c>
      <x:c r="E21" s="23" t="str">
        <x:v>Paket</x:v>
      </x:c>
      <x:c r="F21" s="9" t="str">
        <x:f>IF(OR(K21=1,INDEX($K$7:$K$41,MATCH("voice",$A$7:$A$41,0))=1),"Ja","Nein")</x:f>
        <x:v>Nein</x:v>
      </x:c>
      <x:c r="G21" s="12" t="n">
        <x:f>IF(F21="Ja",D21,0)</x:f>
        <x:v>0</x:v>
      </x:c>
      <x:c r="H21" s="13" t="str">
        <x:f>IF(F21="Nein","Nicht ausgewählt",IF(K21=0,"Automatisch: Voraussetzung",IF(E21="Ja","Individuell ergänzt","Im gewählten Paket")))</x:f>
        <x:v>Nicht ausgewählt</x:v>
      </x:c>
      <x:c r="I21" s="13" t="str">
        <x:v>Keine</x:v>
      </x:c>
      <x:c r="J21" s="25" t="n">
        <x:f>INDEX('Leistungskatalog'!$G$7:$G$41,MATCH($A21,'Leistungskatalog'!$A$7:$A$41,0))</x:f>
        <x:v>18</x:v>
      </x:c>
      <x:c r="K21" s="9" t="n">
        <x:f>IF(E21="Ja",1,IF(E21="Nein",0,IF(E21="Paket",M21,NA())))</x:f>
        <x:v>0</x:v>
      </x:c>
      <x:c r="L21" s="9" t="str">
        <x:f>IF(F21="Ja",COUNTIFS($F$7:F21,"Ja"),"")</x:f>
      </x:c>
      <x:c r="M21" s="9" t="n">
        <x:f>INDEX('Leistungskatalog'!$L$7:$O$41,MATCH($A21,'Leistungskatalog'!$A$7:$A$41,0),'Budget'!$B$6)</x:f>
        <x:v>0</x:v>
      </x:c>
      <x:c r="N21" s="12" t="n">
        <x:f>INDEX('Leistungskatalog'!$D$7:$D$41,MATCH($A21,'Leistungskatalog'!$A$7:$A$41,0))</x:f>
        <x:v>27500</x:v>
      </x:c>
      <x:c r="O21" s="12" t="n">
        <x:f>ROUND(N21-D21,2)</x:f>
        <x:v>5500</x:v>
      </x:c>
      <x:c r="P21" s="9" t="str">
        <x:f>INDEX('Leistungskatalog'!$R$7:$R$41,MATCH($A21,'Leistungskatalog'!$A$7:$A$41,0))</x:f>
        <x:v>Arbeitsleistung</x:v>
      </x:c>
      <x:c r="Q21" s="24" t="n">
        <x:f>INDEX('Leistungskatalog'!$S$7:$S$41,MATCH($A21,'Leistungskatalog'!$A$7:$A$41,0))</x:f>
        <x:v>28.645833333333332</x:v>
      </x:c>
      <x:c r="R21" s="12" t="n">
        <x:f>IF(F21="Ja",N21,0)</x:f>
        <x:v>0</x:v>
      </x:c>
      <x:c r="S21" s="12" t="n">
        <x:f>IF(F21="Ja",O21,0)</x:f>
        <x:v>0</x:v>
      </x:c>
      <x:c r="T21" s="9" t="str">
        <x:f>INDEX('Leistungskatalog'!$J$7:$J$41,MATCH($A21,'Leistungskatalog'!$A$7:$A$41,0))</x:f>
        <x:v>Nein</x:v>
      </x:c>
      <x:c r="U21" s="24" t="n">
        <x:f>IF(AND(F21="Ja",T21="Nein"),INDEX('Leistungskatalog'!$T$7:$T$41,MATCH($A21,'Leistungskatalog'!$A$7:$A$41,0))/1000,0)</x:f>
        <x:v>0</x:v>
      </x:c>
    </x:row>
    <x:row r="22" ht="36" customHeight="1">
      <x:c r="A22" s="19" t="str">
        <x:v>fishanim</x:v>
      </x:c>
      <x:c r="B22" s="28" t="str">
        <x:f>INDEX('Leistungskatalog'!$B$7:$B$41,MATCH($A22,'Leistungskatalog'!$A$7:$A$41,0))</x:f>
        <x:v>Lebendigere Fische</x:v>
      </x:c>
      <x:c r="C22" s="28" t="str">
        <x:f>INDEX('Leistungskatalog'!$C$7:$C$41,MATCH($A22,'Leistungskatalog'!$A$7:$A$41,0))</x:f>
        <x:v>Good to have</x:v>
      </x:c>
      <x:c r="D22" s="29" t="n">
        <x:f>IF(P22="Arbeitsleistung",IF(ISNUMBER('Budget'!$B$10),ROUND(N22*(1-'Budget'!$B$9),2),NA()),N22)</x:f>
        <x:v>4000</x:v>
      </x:c>
      <x:c r="E22" s="23" t="str">
        <x:v>Paket</x:v>
      </x:c>
      <x:c r="F22" s="2" t="str">
        <x:f>IF(OR(K22=1),"Ja","Nein")</x:f>
        <x:v>Nein</x:v>
      </x:c>
      <x:c r="G22" s="11" t="n">
        <x:f>IF(F22="Ja",D22,0)</x:f>
        <x:v>0</x:v>
      </x:c>
      <x:c r="H22" s="15" t="str">
        <x:f>IF(F22="Nein","Nicht ausgewählt",IF(K22=0,"Automatisch: Voraussetzung",IF(E22="Ja","Individuell ergänzt","Im gewählten Paket")))</x:f>
        <x:v>Nicht ausgewählt</x:v>
      </x:c>
      <x:c r="I22" s="15" t="str">
        <x:v>Keine</x:v>
      </x:c>
      <x:c r="J22" s="19" t="n">
        <x:f>INDEX('Leistungskatalog'!$G$7:$G$41,MATCH($A22,'Leistungskatalog'!$A$7:$A$41,0))</x:f>
        <x:v>15</x:v>
      </x:c>
      <x:c r="K22" s="2" t="n">
        <x:f>IF(E22="Ja",1,IF(E22="Nein",0,IF(E22="Paket",M22,NA())))</x:f>
        <x:v>0</x:v>
      </x:c>
      <x:c r="L22" s="2" t="str">
        <x:f>IF(F22="Ja",COUNTIFS($F$7:F22,"Ja"),"")</x:f>
      </x:c>
      <x:c r="M22" s="2" t="n">
        <x:f>INDEX('Leistungskatalog'!$L$7:$O$41,MATCH($A22,'Leistungskatalog'!$A$7:$A$41,0),'Budget'!$B$6)</x:f>
        <x:v>0</x:v>
      </x:c>
      <x:c r="N22" s="11" t="n">
        <x:f>INDEX('Leistungskatalog'!$D$7:$D$41,MATCH($A22,'Leistungskatalog'!$A$7:$A$41,0))</x:f>
        <x:v>5000</x:v>
      </x:c>
      <x:c r="O22" s="11" t="n">
        <x:f>ROUND(N22-D22,2)</x:f>
        <x:v>1000</x:v>
      </x:c>
      <x:c r="P22" s="2" t="str">
        <x:f>INDEX('Leistungskatalog'!$R$7:$R$41,MATCH($A22,'Leistungskatalog'!$A$7:$A$41,0))</x:f>
        <x:v>Arbeitsleistung</x:v>
      </x:c>
      <x:c r="Q22" s="10" t="n">
        <x:f>INDEX('Leistungskatalog'!$S$7:$S$41,MATCH($A22,'Leistungskatalog'!$A$7:$A$41,0))</x:f>
        <x:v>5.208333333333333</x:v>
      </x:c>
      <x:c r="R22" s="11" t="n">
        <x:f>IF(F22="Ja",N22,0)</x:f>
        <x:v>0</x:v>
      </x:c>
      <x:c r="S22" s="11" t="n">
        <x:f>IF(F22="Ja",O22,0)</x:f>
        <x:v>0</x:v>
      </x:c>
      <x:c r="T22" s="2" t="str">
        <x:f>INDEX('Leistungskatalog'!$J$7:$J$41,MATCH($A22,'Leistungskatalog'!$A$7:$A$41,0))</x:f>
        <x:v>Nein</x:v>
      </x:c>
      <x:c r="U22" s="10" t="n">
        <x:f>IF(AND(F22="Ja",T22="Nein"),INDEX('Leistungskatalog'!$T$7:$T$41,MATCH($A22,'Leistungskatalog'!$A$7:$A$41,0))/1000,0)</x:f>
        <x:v>0</x:v>
      </x:c>
    </x:row>
    <x:row r="23" ht="36" customHeight="1">
      <x:c r="A23" s="25" t="str">
        <x:v>voice</x:v>
      </x:c>
      <x:c r="B23" s="26" t="str">
        <x:f>INDEX('Leistungskatalog'!$B$7:$B$41,MATCH($A23,'Leistungskatalog'!$A$7:$A$41,0))</x:f>
        <x:v>Sprachausgabe &amp; Musik</x:v>
      </x:c>
      <x:c r="C23" s="26" t="str">
        <x:f>INDEX('Leistungskatalog'!$C$7:$C$41,MATCH($A23,'Leistungskatalog'!$A$7:$A$41,0))</x:f>
        <x:v>Good to have</x:v>
      </x:c>
      <x:c r="D23" s="27" t="n">
        <x:f>IF(P23="Arbeitsleistung",IF(ISNUMBER('Budget'!$B$10),ROUND(N23*(1-'Budget'!$B$9),2),NA()),N23)</x:f>
        <x:v>14000</x:v>
      </x:c>
      <x:c r="E23" s="23" t="str">
        <x:v>Paket</x:v>
      </x:c>
      <x:c r="F23" s="9" t="str">
        <x:f>IF(OR(K23=1),"Ja","Nein")</x:f>
        <x:v>Nein</x:v>
      </x:c>
      <x:c r="G23" s="12" t="n">
        <x:f>IF(F23="Ja",D23,0)</x:f>
        <x:v>0</x:v>
      </x:c>
      <x:c r="H23" s="13" t="str">
        <x:f>IF(F23="Nein","Nicht ausgewählt",IF(K23=0,"Automatisch: Voraussetzung",IF(E23="Ja","Individuell ergänzt","Im gewählten Paket")))</x:f>
        <x:v>Nicht ausgewählt</x:v>
      </x:c>
      <x:c r="I23" s="13" t="str">
        <x:v>Figuren, Geschichte &amp; Animationen</x:v>
      </x:c>
      <x:c r="J23" s="25" t="n">
        <x:f>INDEX('Leistungskatalog'!$G$7:$G$41,MATCH($A23,'Leistungskatalog'!$A$7:$A$41,0))</x:f>
        <x:v>18</x:v>
      </x:c>
      <x:c r="K23" s="9" t="n">
        <x:f>IF(E23="Ja",1,IF(E23="Nein",0,IF(E23="Paket",M23,NA())))</x:f>
        <x:v>0</x:v>
      </x:c>
      <x:c r="L23" s="9" t="str">
        <x:f>IF(F23="Ja",COUNTIFS($F$7:F23,"Ja"),"")</x:f>
      </x:c>
      <x:c r="M23" s="9" t="n">
        <x:f>INDEX('Leistungskatalog'!$L$7:$O$41,MATCH($A23,'Leistungskatalog'!$A$7:$A$41,0),'Budget'!$B$6)</x:f>
        <x:v>0</x:v>
      </x:c>
      <x:c r="N23" s="12" t="n">
        <x:f>INDEX('Leistungskatalog'!$D$7:$D$41,MATCH($A23,'Leistungskatalog'!$A$7:$A$41,0))</x:f>
        <x:v>14000</x:v>
      </x:c>
      <x:c r="O23" s="12" t="n">
        <x:f>ROUND(N23-D23,2)</x:f>
        <x:v>0</x:v>
      </x:c>
      <x:c r="P23" s="9" t="str">
        <x:f>INDEX('Leistungskatalog'!$R$7:$R$41,MATCH($A23,'Leistungskatalog'!$A$7:$A$41,0))</x:f>
        <x:v>Mischkostentopf</x:v>
      </x:c>
      <x:c r="Q23" s="24" t="str">
        <x:f>INDEX('Leistungskatalog'!$S$7:$S$41,MATCH($A23,'Leistungskatalog'!$A$7:$A$41,0))</x:f>
        <x:v>Nicht aufgeteilt</x:v>
      </x:c>
      <x:c r="R23" s="12" t="n">
        <x:f>IF(F23="Ja",N23,0)</x:f>
        <x:v>0</x:v>
      </x:c>
      <x:c r="S23" s="12" t="n">
        <x:f>IF(F23="Ja",O23,0)</x:f>
        <x:v>0</x:v>
      </x:c>
      <x:c r="T23" s="9" t="str">
        <x:f>INDEX('Leistungskatalog'!$J$7:$J$41,MATCH($A23,'Leistungskatalog'!$A$7:$A$41,0))</x:f>
        <x:v>Nein</x:v>
      </x:c>
      <x:c r="U23" s="24" t="n">
        <x:f>IF(AND(F23="Ja",T23="Nein"),INDEX('Leistungskatalog'!$T$7:$T$41,MATCH($A23,'Leistungskatalog'!$A$7:$A$41,0))/1000,0)</x:f>
        <x:v>0</x:v>
      </x:c>
    </x:row>
    <x:row r="24" ht="36" customHeight="1">
      <x:c r="A24" s="19" t="str">
        <x:v>apps</x:v>
      </x:c>
      <x:c r="B24" s="28" t="str">
        <x:f>INDEX('Leistungskatalog'!$B$7:$B$41,MATCH($A24,'Leistungskatalog'!$A$7:$A$41,0))</x:f>
        <x:v>Mobile Umsetzung &amp; Veröffentlichung</x:v>
      </x:c>
      <x:c r="C24" s="28" t="str">
        <x:f>INDEX('Leistungskatalog'!$C$7:$C$41,MATCH($A24,'Leistungskatalog'!$A$7:$A$41,0))</x:f>
        <x:v>Good to have</x:v>
      </x:c>
      <x:c r="D24" s="29" t="n">
        <x:f>IF(P24="Arbeitsleistung",IF(ISNUMBER('Budget'!$B$10),ROUND(N24*(1-'Budget'!$B$9),2),NA()),N24)</x:f>
        <x:v>24000</x:v>
      </x:c>
      <x:c r="E24" s="23" t="str">
        <x:v>Paket</x:v>
      </x:c>
      <x:c r="F24" s="2" t="str">
        <x:f>IF(OR(K24=1),"Ja","Nein")</x:f>
        <x:v>Nein</x:v>
      </x:c>
      <x:c r="G24" s="11" t="n">
        <x:f>IF(F24="Ja",D24,0)</x:f>
        <x:v>0</x:v>
      </x:c>
      <x:c r="H24" s="15" t="str">
        <x:f>IF(F24="Nein","Nicht ausgewählt",IF(K24=0,"Automatisch: Voraussetzung",IF(E24="Ja","Individuell ergänzt","Im gewählten Paket")))</x:f>
        <x:v>Nicht ausgewählt</x:v>
      </x:c>
      <x:c r="I24" s="15" t="str">
        <x:v>Keine</x:v>
      </x:c>
      <x:c r="J24" s="19" t="n">
        <x:f>INDEX('Leistungskatalog'!$G$7:$G$41,MATCH($A24,'Leistungskatalog'!$A$7:$A$41,0))</x:f>
        <x:v>24</x:v>
      </x:c>
      <x:c r="K24" s="2" t="n">
        <x:f>IF(E24="Ja",1,IF(E24="Nein",0,IF(E24="Paket",M24,NA())))</x:f>
        <x:v>0</x:v>
      </x:c>
      <x:c r="L24" s="2" t="str">
        <x:f>IF(F24="Ja",COUNTIFS($F$7:F24,"Ja"),"")</x:f>
      </x:c>
      <x:c r="M24" s="2" t="n">
        <x:f>INDEX('Leistungskatalog'!$L$7:$O$41,MATCH($A24,'Leistungskatalog'!$A$7:$A$41,0),'Budget'!$B$6)</x:f>
        <x:v>0</x:v>
      </x:c>
      <x:c r="N24" s="11" t="n">
        <x:f>INDEX('Leistungskatalog'!$D$7:$D$41,MATCH($A24,'Leistungskatalog'!$A$7:$A$41,0))</x:f>
        <x:v>30000</x:v>
      </x:c>
      <x:c r="O24" s="11" t="n">
        <x:f>ROUND(N24-D24,2)</x:f>
        <x:v>6000</x:v>
      </x:c>
      <x:c r="P24" s="2" t="str">
        <x:f>INDEX('Leistungskatalog'!$R$7:$R$41,MATCH($A24,'Leistungskatalog'!$A$7:$A$41,0))</x:f>
        <x:v>Arbeitsleistung</x:v>
      </x:c>
      <x:c r="Q24" s="10" t="n">
        <x:f>INDEX('Leistungskatalog'!$S$7:$S$41,MATCH($A24,'Leistungskatalog'!$A$7:$A$41,0))</x:f>
        <x:v>31.25</x:v>
      </x:c>
      <x:c r="R24" s="11" t="n">
        <x:f>IF(F24="Ja",N24,0)</x:f>
        <x:v>0</x:v>
      </x:c>
      <x:c r="S24" s="11" t="n">
        <x:f>IF(F24="Ja",O24,0)</x:f>
        <x:v>0</x:v>
      </x:c>
      <x:c r="T24" s="2" t="str">
        <x:f>INDEX('Leistungskatalog'!$J$7:$J$41,MATCH($A24,'Leistungskatalog'!$A$7:$A$41,0))</x:f>
        <x:v>Nein</x:v>
      </x:c>
      <x:c r="U24" s="10" t="n">
        <x:f>IF(AND(F24="Ja",T24="Nein"),INDEX('Leistungskatalog'!$T$7:$T$41,MATCH($A24,'Leistungskatalog'!$A$7:$A$41,0))/1000,0)</x:f>
        <x:v>0</x:v>
      </x:c>
    </x:row>
    <x:row r="25" ht="36" customHeight="1">
      <x:c r="A25" s="25" t="str">
        <x:v>desktop</x:v>
      </x:c>
      <x:c r="B25" s="26" t="str">
        <x:f>INDEX('Leistungskatalog'!$B$7:$B$41,MATCH($A25,'Leistungskatalog'!$A$7:$A$41,0))</x:f>
        <x:v>Desktop-Version</x:v>
      </x:c>
      <x:c r="C25" s="26" t="str">
        <x:f>INDEX('Leistungskatalog'!$C$7:$C$41,MATCH($A25,'Leistungskatalog'!$A$7:$A$41,0))</x:f>
        <x:v>Good to have</x:v>
      </x:c>
      <x:c r="D25" s="27" t="n">
        <x:f>IF(P25="Arbeitsleistung",IF(ISNUMBER('Budget'!$B$10),ROUND(N25*(1-'Budget'!$B$9),2),NA()),N25)</x:f>
        <x:v>4000</x:v>
      </x:c>
      <x:c r="E25" s="23" t="str">
        <x:v>Paket</x:v>
      </x:c>
      <x:c r="F25" s="9" t="str">
        <x:f>IF(OR(K25=1,INDEX($K$7:$K$41,MATCH("steam",$A$7:$A$41,0))=1),"Ja","Nein")</x:f>
        <x:v>Nein</x:v>
      </x:c>
      <x:c r="G25" s="12" t="n">
        <x:f>IF(F25="Ja",D25,0)</x:f>
        <x:v>0</x:v>
      </x:c>
      <x:c r="H25" s="13" t="str">
        <x:f>IF(F25="Nein","Nicht ausgewählt",IF(K25=0,"Automatisch: Voraussetzung",IF(E25="Ja","Individuell ergänzt","Im gewählten Paket")))</x:f>
        <x:v>Nicht ausgewählt</x:v>
      </x:c>
      <x:c r="I25" s="13" t="str">
        <x:v>Keine</x:v>
      </x:c>
      <x:c r="J25" s="25" t="n">
        <x:f>INDEX('Leistungskatalog'!$G$7:$G$41,MATCH($A25,'Leistungskatalog'!$A$7:$A$41,0))</x:f>
        <x:v>18</x:v>
      </x:c>
      <x:c r="K25" s="9" t="n">
        <x:f>IF(E25="Ja",1,IF(E25="Nein",0,IF(E25="Paket",M25,NA())))</x:f>
        <x:v>0</x:v>
      </x:c>
      <x:c r="L25" s="9" t="str">
        <x:f>IF(F25="Ja",COUNTIFS($F$7:F25,"Ja"),"")</x:f>
      </x:c>
      <x:c r="M25" s="9" t="n">
        <x:f>INDEX('Leistungskatalog'!$L$7:$O$41,MATCH($A25,'Leistungskatalog'!$A$7:$A$41,0),'Budget'!$B$6)</x:f>
        <x:v>0</x:v>
      </x:c>
      <x:c r="N25" s="12" t="n">
        <x:f>INDEX('Leistungskatalog'!$D$7:$D$41,MATCH($A25,'Leistungskatalog'!$A$7:$A$41,0))</x:f>
        <x:v>5000</x:v>
      </x:c>
      <x:c r="O25" s="12" t="n">
        <x:f>ROUND(N25-D25,2)</x:f>
        <x:v>1000</x:v>
      </x:c>
      <x:c r="P25" s="9" t="str">
        <x:f>INDEX('Leistungskatalog'!$R$7:$R$41,MATCH($A25,'Leistungskatalog'!$A$7:$A$41,0))</x:f>
        <x:v>Arbeitsleistung</x:v>
      </x:c>
      <x:c r="Q25" s="24" t="n">
        <x:f>INDEX('Leistungskatalog'!$S$7:$S$41,MATCH($A25,'Leistungskatalog'!$A$7:$A$41,0))</x:f>
        <x:v>5.208333333333333</x:v>
      </x:c>
      <x:c r="R25" s="12" t="n">
        <x:f>IF(F25="Ja",N25,0)</x:f>
        <x:v>0</x:v>
      </x:c>
      <x:c r="S25" s="12" t="n">
        <x:f>IF(F25="Ja",O25,0)</x:f>
        <x:v>0</x:v>
      </x:c>
      <x:c r="T25" s="9" t="str">
        <x:f>INDEX('Leistungskatalog'!$J$7:$J$41,MATCH($A25,'Leistungskatalog'!$A$7:$A$41,0))</x:f>
        <x:v>Nein</x:v>
      </x:c>
      <x:c r="U25" s="24" t="n">
        <x:f>IF(AND(F25="Ja",T25="Nein"),INDEX('Leistungskatalog'!$T$7:$T$41,MATCH($A25,'Leistungskatalog'!$A$7:$A$41,0))/1000,0)</x:f>
        <x:v>0</x:v>
      </x:c>
    </x:row>
    <x:row r="26" ht="48" customHeight="1">
      <x:c r="A26" s="19" t="str">
        <x:v>lti</x:v>
      </x:c>
      <x:c r="B26" s="28" t="str">
        <x:f>INDEX('Leistungskatalog'!$B$7:$B$41,MATCH($A26,'Leistungskatalog'!$A$7:$A$41,0))</x:f>
        <x:v>Schul-Login &amp; Lernplattform-Anbindung</x:v>
      </x:c>
      <x:c r="C26" s="28" t="str">
        <x:f>INDEX('Leistungskatalog'!$C$7:$C$41,MATCH($A26,'Leistungskatalog'!$A$7:$A$41,0))</x:f>
        <x:v>Good to have</x:v>
      </x:c>
      <x:c r="D26" s="29" t="n">
        <x:f>IF(P26="Arbeitsleistung",IF(ISNUMBER('Budget'!$B$10),ROUND(N26*(1-'Budget'!$B$9),2),NA()),N26)</x:f>
        <x:v>12000</x:v>
      </x:c>
      <x:c r="E26" s="23" t="str">
        <x:v>Paket</x:v>
      </x:c>
      <x:c r="F26" s="2" t="str">
        <x:f>IF(OR(K26=1),"Ja","Nein")</x:f>
        <x:v>Nein</x:v>
      </x:c>
      <x:c r="G26" s="11" t="n">
        <x:f>IF(F26="Ja",D26,0)</x:f>
        <x:v>0</x:v>
      </x:c>
      <x:c r="H26" s="15" t="str">
        <x:f>IF(F26="Nein","Nicht ausgewählt",IF(K26=0,"Automatisch: Voraussetzung",IF(E26="Ja","Individuell ergänzt","Im gewählten Paket")))</x:f>
        <x:v>Nicht ausgewählt</x:v>
      </x:c>
      <x:c r="I26" s="15" t="str">
        <x:v>Keine</x:v>
      </x:c>
      <x:c r="J26" s="19" t="n">
        <x:f>INDEX('Leistungskatalog'!$G$7:$G$41,MATCH($A26,'Leistungskatalog'!$A$7:$A$41,0))</x:f>
        <x:v>18</x:v>
      </x:c>
      <x:c r="K26" s="2" t="n">
        <x:f>IF(E26="Ja",1,IF(E26="Nein",0,IF(E26="Paket",M26,NA())))</x:f>
        <x:v>0</x:v>
      </x:c>
      <x:c r="L26" s="2" t="str">
        <x:f>IF(F26="Ja",COUNTIFS($F$7:F26,"Ja"),"")</x:f>
      </x:c>
      <x:c r="M26" s="2" t="n">
        <x:f>INDEX('Leistungskatalog'!$L$7:$O$41,MATCH($A26,'Leistungskatalog'!$A$7:$A$41,0),'Budget'!$B$6)</x:f>
        <x:v>0</x:v>
      </x:c>
      <x:c r="N26" s="11" t="n">
        <x:f>INDEX('Leistungskatalog'!$D$7:$D$41,MATCH($A26,'Leistungskatalog'!$A$7:$A$41,0))</x:f>
        <x:v>15000</x:v>
      </x:c>
      <x:c r="O26" s="11" t="n">
        <x:f>ROUND(N26-D26,2)</x:f>
        <x:v>3000</x:v>
      </x:c>
      <x:c r="P26" s="2" t="str">
        <x:f>INDEX('Leistungskatalog'!$R$7:$R$41,MATCH($A26,'Leistungskatalog'!$A$7:$A$41,0))</x:f>
        <x:v>Arbeitsleistung</x:v>
      </x:c>
      <x:c r="Q26" s="10" t="n">
        <x:f>INDEX('Leistungskatalog'!$S$7:$S$41,MATCH($A26,'Leistungskatalog'!$A$7:$A$41,0))</x:f>
        <x:v>15.625</x:v>
      </x:c>
      <x:c r="R26" s="11" t="n">
        <x:f>IF(F26="Ja",N26,0)</x:f>
        <x:v>0</x:v>
      </x:c>
      <x:c r="S26" s="11" t="n">
        <x:f>IF(F26="Ja",O26,0)</x:f>
        <x:v>0</x:v>
      </x:c>
      <x:c r="T26" s="2" t="str">
        <x:f>INDEX('Leistungskatalog'!$J$7:$J$41,MATCH($A26,'Leistungskatalog'!$A$7:$A$41,0))</x:f>
        <x:v>Nein</x:v>
      </x:c>
      <x:c r="U26" s="10" t="n">
        <x:f>IF(AND(F26="Ja",T26="Nein"),INDEX('Leistungskatalog'!$T$7:$T$41,MATCH($A26,'Leistungskatalog'!$A$7:$A$41,0))/1000,0)</x:f>
        <x:v>0</x:v>
      </x:c>
    </x:row>
    <x:row r="27" ht="36" customHeight="1">
      <x:c r="A27" s="25" t="str">
        <x:v>weather</x:v>
      </x:c>
      <x:c r="B27" s="26" t="str">
        <x:f>INDEX('Leistungskatalog'!$B$7:$B$41,MATCH($A27,'Leistungskatalog'!$A$7:$A$41,0))</x:f>
        <x:v>Wetter &amp; Tagesstimmung</x:v>
      </x:c>
      <x:c r="C27" s="26" t="str">
        <x:f>INDEX('Leistungskatalog'!$C$7:$C$41,MATCH($A27,'Leistungskatalog'!$A$7:$A$41,0))</x:f>
        <x:v>Good to have</x:v>
      </x:c>
      <x:c r="D27" s="27" t="n">
        <x:f>IF(P27="Arbeitsleistung",IF(ISNUMBER('Budget'!$B$10),ROUND(N27*(1-'Budget'!$B$9),2),NA()),N27)</x:f>
        <x:v>6000</x:v>
      </x:c>
      <x:c r="E27" s="23" t="str">
        <x:v>Paket</x:v>
      </x:c>
      <x:c r="F27" s="9" t="str">
        <x:f>IF(OR(K27=1),"Ja","Nein")</x:f>
        <x:v>Nein</x:v>
      </x:c>
      <x:c r="G27" s="12" t="n">
        <x:f>IF(F27="Ja",D27,0)</x:f>
        <x:v>0</x:v>
      </x:c>
      <x:c r="H27" s="13" t="str">
        <x:f>IF(F27="Nein","Nicht ausgewählt",IF(K27=0,"Automatisch: Voraussetzung",IF(E27="Ja","Individuell ergänzt","Im gewählten Paket")))</x:f>
        <x:v>Nicht ausgewählt</x:v>
      </x:c>
      <x:c r="I27" s="13" t="str">
        <x:v>Keine</x:v>
      </x:c>
      <x:c r="J27" s="25" t="n">
        <x:f>INDEX('Leistungskatalog'!$G$7:$G$41,MATCH($A27,'Leistungskatalog'!$A$7:$A$41,0))</x:f>
        <x:v>18</x:v>
      </x:c>
      <x:c r="K27" s="9" t="n">
        <x:f>IF(E27="Ja",1,IF(E27="Nein",0,IF(E27="Paket",M27,NA())))</x:f>
        <x:v>0</x:v>
      </x:c>
      <x:c r="L27" s="9" t="str">
        <x:f>IF(F27="Ja",COUNTIFS($F$7:F27,"Ja"),"")</x:f>
      </x:c>
      <x:c r="M27" s="9" t="n">
        <x:f>INDEX('Leistungskatalog'!$L$7:$O$41,MATCH($A27,'Leistungskatalog'!$A$7:$A$41,0),'Budget'!$B$6)</x:f>
        <x:v>0</x:v>
      </x:c>
      <x:c r="N27" s="12" t="n">
        <x:f>INDEX('Leistungskatalog'!$D$7:$D$41,MATCH($A27,'Leistungskatalog'!$A$7:$A$41,0))</x:f>
        <x:v>7500</x:v>
      </x:c>
      <x:c r="O27" s="12" t="n">
        <x:f>ROUND(N27-D27,2)</x:f>
        <x:v>1500</x:v>
      </x:c>
      <x:c r="P27" s="9" t="str">
        <x:f>INDEX('Leistungskatalog'!$R$7:$R$41,MATCH($A27,'Leistungskatalog'!$A$7:$A$41,0))</x:f>
        <x:v>Arbeitsleistung</x:v>
      </x:c>
      <x:c r="Q27" s="24" t="n">
        <x:f>INDEX('Leistungskatalog'!$S$7:$S$41,MATCH($A27,'Leistungskatalog'!$A$7:$A$41,0))</x:f>
        <x:v>7.8125</x:v>
      </x:c>
      <x:c r="R27" s="12" t="n">
        <x:f>IF(F27="Ja",N27,0)</x:f>
        <x:v>0</x:v>
      </x:c>
      <x:c r="S27" s="12" t="n">
        <x:f>IF(F27="Ja",O27,0)</x:f>
        <x:v>0</x:v>
      </x:c>
      <x:c r="T27" s="9" t="str">
        <x:f>INDEX('Leistungskatalog'!$J$7:$J$41,MATCH($A27,'Leistungskatalog'!$A$7:$A$41,0))</x:f>
        <x:v>Nein</x:v>
      </x:c>
      <x:c r="U27" s="24" t="n">
        <x:f>IF(AND(F27="Ja",T27="Nein"),INDEX('Leistungskatalog'!$T$7:$T$41,MATCH($A27,'Leistungskatalog'!$A$7:$A$41,0))/1000,0)</x:f>
        <x:v>0</x:v>
      </x:c>
    </x:row>
    <x:row r="28" ht="36" customHeight="1">
      <x:c r="A28" s="19" t="str">
        <x:v>vehicles</x:v>
      </x:c>
      <x:c r="B28" s="28" t="str">
        <x:f>INDEX('Leistungskatalog'!$B$7:$B$41,MATCH($A28,'Leistungskatalog'!$A$7:$A$41,0))</x:f>
        <x:v>Boot, Geländewagen &amp; Quad</x:v>
      </x:c>
      <x:c r="C28" s="28" t="str">
        <x:f>INDEX('Leistungskatalog'!$C$7:$C$41,MATCH($A28,'Leistungskatalog'!$A$7:$A$41,0))</x:f>
        <x:v>Good to have</x:v>
      </x:c>
      <x:c r="D28" s="29" t="n">
        <x:f>IF(P28="Arbeitsleistung",IF(ISNUMBER('Budget'!$B$10),ROUND(N28*(1-'Budget'!$B$9),2),NA()),N28)</x:f>
        <x:v>8000</x:v>
      </x:c>
      <x:c r="E28" s="23" t="str">
        <x:v>Paket</x:v>
      </x:c>
      <x:c r="F28" s="2" t="str">
        <x:f>IF(OR(K28=1),"Ja","Nein")</x:f>
        <x:v>Nein</x:v>
      </x:c>
      <x:c r="G28" s="11" t="n">
        <x:f>IF(F28="Ja",D28,0)</x:f>
        <x:v>0</x:v>
      </x:c>
      <x:c r="H28" s="15" t="str">
        <x:f>IF(F28="Nein","Nicht ausgewählt",IF(K28=0,"Automatisch: Voraussetzung",IF(E28="Ja","Individuell ergänzt","Im gewählten Paket")))</x:f>
        <x:v>Nicht ausgewählt</x:v>
      </x:c>
      <x:c r="I28" s="15" t="str">
        <x:v>Keine</x:v>
      </x:c>
      <x:c r="J28" s="19" t="n">
        <x:f>INDEX('Leistungskatalog'!$G$7:$G$41,MATCH($A28,'Leistungskatalog'!$A$7:$A$41,0))</x:f>
        <x:v>18</x:v>
      </x:c>
      <x:c r="K28" s="2" t="n">
        <x:f>IF(E28="Ja",1,IF(E28="Nein",0,IF(E28="Paket",M28,NA())))</x:f>
        <x:v>0</x:v>
      </x:c>
      <x:c r="L28" s="2" t="str">
        <x:f>IF(F28="Ja",COUNTIFS($F$7:F28,"Ja"),"")</x:f>
      </x:c>
      <x:c r="M28" s="2" t="n">
        <x:f>INDEX('Leistungskatalog'!$L$7:$O$41,MATCH($A28,'Leistungskatalog'!$A$7:$A$41,0),'Budget'!$B$6)</x:f>
        <x:v>0</x:v>
      </x:c>
      <x:c r="N28" s="11" t="n">
        <x:f>INDEX('Leistungskatalog'!$D$7:$D$41,MATCH($A28,'Leistungskatalog'!$A$7:$A$41,0))</x:f>
        <x:v>8000</x:v>
      </x:c>
      <x:c r="O28" s="11" t="n">
        <x:f>ROUND(N28-D28,2)</x:f>
        <x:v>0</x:v>
      </x:c>
      <x:c r="P28" s="2" t="str">
        <x:f>INDEX('Leistungskatalog'!$R$7:$R$41,MATCH($A28,'Leistungskatalog'!$A$7:$A$41,0))</x:f>
        <x:v>Mischkostentopf</x:v>
      </x:c>
      <x:c r="Q28" s="10" t="str">
        <x:f>INDEX('Leistungskatalog'!$S$7:$S$41,MATCH($A28,'Leistungskatalog'!$A$7:$A$41,0))</x:f>
        <x:v>Nicht aufgeteilt</x:v>
      </x:c>
      <x:c r="R28" s="11" t="n">
        <x:f>IF(F28="Ja",N28,0)</x:f>
        <x:v>0</x:v>
      </x:c>
      <x:c r="S28" s="11" t="n">
        <x:f>IF(F28="Ja",O28,0)</x:f>
        <x:v>0</x:v>
      </x:c>
      <x:c r="T28" s="2" t="str">
        <x:f>INDEX('Leistungskatalog'!$J$7:$J$41,MATCH($A28,'Leistungskatalog'!$A$7:$A$41,0))</x:f>
        <x:v>Nein</x:v>
      </x:c>
      <x:c r="U28" s="10" t="n">
        <x:f>IF(AND(F28="Ja",T28="Nein"),INDEX('Leistungskatalog'!$T$7:$T$41,MATCH($A28,'Leistungskatalog'!$A$7:$A$41,0))/1000,0)</x:f>
        <x:v>0</x:v>
      </x:c>
    </x:row>
    <x:row r="29" ht="36" customHeight="1">
      <x:c r="A29" s="25" t="str">
        <x:v>sound</x:v>
      </x:c>
      <x:c r="B29" s="26" t="str">
        <x:f>INDEX('Leistungskatalog'!$B$7:$B$41,MATCH($A29,'Leistungskatalog'!$A$7:$A$41,0))</x:f>
        <x:v>Eigenes Sounddesign</x:v>
      </x:c>
      <x:c r="C29" s="26" t="str">
        <x:f>INDEX('Leistungskatalog'!$C$7:$C$41,MATCH($A29,'Leistungskatalog'!$A$7:$A$41,0))</x:f>
        <x:v>Good to have</x:v>
      </x:c>
      <x:c r="D29" s="27" t="n">
        <x:f>IF(P29="Arbeitsleistung",IF(ISNUMBER('Budget'!$B$10),ROUND(N29*(1-'Budget'!$B$9),2),NA()),N29)</x:f>
        <x:v>6000</x:v>
      </x:c>
      <x:c r="E29" s="23" t="str">
        <x:v>Paket</x:v>
      </x:c>
      <x:c r="F29" s="9" t="str">
        <x:f>IF(OR(K29=1),"Ja","Nein")</x:f>
        <x:v>Nein</x:v>
      </x:c>
      <x:c r="G29" s="12" t="n">
        <x:f>IF(F29="Ja",D29,0)</x:f>
        <x:v>0</x:v>
      </x:c>
      <x:c r="H29" s="13" t="str">
        <x:f>IF(F29="Nein","Nicht ausgewählt",IF(K29=0,"Automatisch: Voraussetzung",IF(E29="Ja","Individuell ergänzt","Im gewählten Paket")))</x:f>
        <x:v>Nicht ausgewählt</x:v>
      </x:c>
      <x:c r="I29" s="13" t="str">
        <x:v>Keine</x:v>
      </x:c>
      <x:c r="J29" s="25" t="n">
        <x:f>INDEX('Leistungskatalog'!$G$7:$G$41,MATCH($A29,'Leistungskatalog'!$A$7:$A$41,0))</x:f>
        <x:v>18</x:v>
      </x:c>
      <x:c r="K29" s="9" t="n">
        <x:f>IF(E29="Ja",1,IF(E29="Nein",0,IF(E29="Paket",M29,NA())))</x:f>
        <x:v>0</x:v>
      </x:c>
      <x:c r="L29" s="9" t="str">
        <x:f>IF(F29="Ja",COUNTIFS($F$7:F29,"Ja"),"")</x:f>
      </x:c>
      <x:c r="M29" s="9" t="n">
        <x:f>INDEX('Leistungskatalog'!$L$7:$O$41,MATCH($A29,'Leistungskatalog'!$A$7:$A$41,0),'Budget'!$B$6)</x:f>
        <x:v>0</x:v>
      </x:c>
      <x:c r="N29" s="12" t="n">
        <x:f>INDEX('Leistungskatalog'!$D$7:$D$41,MATCH($A29,'Leistungskatalog'!$A$7:$A$41,0))</x:f>
        <x:v>7500</x:v>
      </x:c>
      <x:c r="O29" s="12" t="n">
        <x:f>ROUND(N29-D29,2)</x:f>
        <x:v>1500</x:v>
      </x:c>
      <x:c r="P29" s="9" t="str">
        <x:f>INDEX('Leistungskatalog'!$R$7:$R$41,MATCH($A29,'Leistungskatalog'!$A$7:$A$41,0))</x:f>
        <x:v>Arbeitsleistung</x:v>
      </x:c>
      <x:c r="Q29" s="24" t="n">
        <x:f>INDEX('Leistungskatalog'!$S$7:$S$41,MATCH($A29,'Leistungskatalog'!$A$7:$A$41,0))</x:f>
        <x:v>7.8125</x:v>
      </x:c>
      <x:c r="R29" s="12" t="n">
        <x:f>IF(F29="Ja",N29,0)</x:f>
        <x:v>0</x:v>
      </x:c>
      <x:c r="S29" s="12" t="n">
        <x:f>IF(F29="Ja",O29,0)</x:f>
        <x:v>0</x:v>
      </x:c>
      <x:c r="T29" s="9" t="str">
        <x:f>INDEX('Leistungskatalog'!$J$7:$J$41,MATCH($A29,'Leistungskatalog'!$A$7:$A$41,0))</x:f>
        <x:v>Nein</x:v>
      </x:c>
      <x:c r="U29" s="24" t="n">
        <x:f>IF(AND(F29="Ja",T29="Nein"),INDEX('Leistungskatalog'!$T$7:$T$41,MATCH($A29,'Leistungskatalog'!$A$7:$A$41,0))/1000,0)</x:f>
        <x:v>0</x:v>
      </x:c>
    </x:row>
    <x:row r="30" ht="36" customHeight="1">
      <x:c r="A30" s="19" t="str">
        <x:v>art</x:v>
      </x:c>
      <x:c r="B30" s="28" t="str">
        <x:f>INDEX('Leistungskatalog'!$B$7:$B$41,MATCH($A30,'Leistungskatalog'!$A$7:$A$41,0))</x:f>
        <x:v>Illustrationen &amp; Benutzeroberfläche</x:v>
      </x:c>
      <x:c r="C30" s="28" t="str">
        <x:f>INDEX('Leistungskatalog'!$C$7:$C$41,MATCH($A30,'Leistungskatalog'!$A$7:$A$41,0))</x:f>
        <x:v>Good to have</x:v>
      </x:c>
      <x:c r="D30" s="29" t="n">
        <x:f>IF(P30="Arbeitsleistung",IF(ISNUMBER('Budget'!$B$10),ROUND(N30*(1-'Budget'!$B$9),2),NA()),N30)</x:f>
        <x:v>8000</x:v>
      </x:c>
      <x:c r="E30" s="23" t="str">
        <x:v>Paket</x:v>
      </x:c>
      <x:c r="F30" s="2" t="str">
        <x:f>IF(OR(K30=1),"Ja","Nein")</x:f>
        <x:v>Nein</x:v>
      </x:c>
      <x:c r="G30" s="11" t="n">
        <x:f>IF(F30="Ja",D30,0)</x:f>
        <x:v>0</x:v>
      </x:c>
      <x:c r="H30" s="15" t="str">
        <x:f>IF(F30="Nein","Nicht ausgewählt",IF(K30=0,"Automatisch: Voraussetzung",IF(E30="Ja","Individuell ergänzt","Im gewählten Paket")))</x:f>
        <x:v>Nicht ausgewählt</x:v>
      </x:c>
      <x:c r="I30" s="15" t="str">
        <x:v>Keine</x:v>
      </x:c>
      <x:c r="J30" s="19" t="n">
        <x:f>INDEX('Leistungskatalog'!$G$7:$G$41,MATCH($A30,'Leistungskatalog'!$A$7:$A$41,0))</x:f>
        <x:v>18</x:v>
      </x:c>
      <x:c r="K30" s="2" t="n">
        <x:f>IF(E30="Ja",1,IF(E30="Nein",0,IF(E30="Paket",M30,NA())))</x:f>
        <x:v>0</x:v>
      </x:c>
      <x:c r="L30" s="2" t="str">
        <x:f>IF(F30="Ja",COUNTIFS($F$7:F30,"Ja"),"")</x:f>
      </x:c>
      <x:c r="M30" s="2" t="n">
        <x:f>INDEX('Leistungskatalog'!$L$7:$O$41,MATCH($A30,'Leistungskatalog'!$A$7:$A$41,0),'Budget'!$B$6)</x:f>
        <x:v>0</x:v>
      </x:c>
      <x:c r="N30" s="11" t="n">
        <x:f>INDEX('Leistungskatalog'!$D$7:$D$41,MATCH($A30,'Leistungskatalog'!$A$7:$A$41,0))</x:f>
        <x:v>10000</x:v>
      </x:c>
      <x:c r="O30" s="11" t="n">
        <x:f>ROUND(N30-D30,2)</x:f>
        <x:v>2000</x:v>
      </x:c>
      <x:c r="P30" s="2" t="str">
        <x:f>INDEX('Leistungskatalog'!$R$7:$R$41,MATCH($A30,'Leistungskatalog'!$A$7:$A$41,0))</x:f>
        <x:v>Arbeitsleistung</x:v>
      </x:c>
      <x:c r="Q30" s="10" t="n">
        <x:f>INDEX('Leistungskatalog'!$S$7:$S$41,MATCH($A30,'Leistungskatalog'!$A$7:$A$41,0))</x:f>
        <x:v>10.416666666666666</x:v>
      </x:c>
      <x:c r="R30" s="11" t="n">
        <x:f>IF(F30="Ja",N30,0)</x:f>
        <x:v>0</x:v>
      </x:c>
      <x:c r="S30" s="11" t="n">
        <x:f>IF(F30="Ja",O30,0)</x:f>
        <x:v>0</x:v>
      </x:c>
      <x:c r="T30" s="2" t="str">
        <x:f>INDEX('Leistungskatalog'!$J$7:$J$41,MATCH($A30,'Leistungskatalog'!$A$7:$A$41,0))</x:f>
        <x:v>Nein</x:v>
      </x:c>
      <x:c r="U30" s="10" t="n">
        <x:f>IF(AND(F30="Ja",T30="Nein"),INDEX('Leistungskatalog'!$T$7:$T$41,MATCH($A30,'Leistungskatalog'!$A$7:$A$41,0))/1000,0)</x:f>
        <x:v>0</x:v>
      </x:c>
    </x:row>
    <x:row r="31" ht="36" customHeight="1">
      <x:c r="A31" s="25" t="str">
        <x:v>videos</x:v>
      </x:c>
      <x:c r="B31" s="26" t="str">
        <x:f>INDEX('Leistungskatalog'!$B$7:$B$41,MATCH($A31,'Leistungskatalog'!$A$7:$A$41,0))</x:f>
        <x:v>Eigene Lernvideos</x:v>
      </x:c>
      <x:c r="C31" s="26" t="str">
        <x:f>INDEX('Leistungskatalog'!$C$7:$C$41,MATCH($A31,'Leistungskatalog'!$A$7:$A$41,0))</x:f>
        <x:v>Good to have</x:v>
      </x:c>
      <x:c r="D31" s="27" t="n">
        <x:f>IF(P31="Arbeitsleistung",IF(ISNUMBER('Budget'!$B$10),ROUND(N31*(1-'Budget'!$B$9),2),NA()),N31)</x:f>
        <x:v>8000</x:v>
      </x:c>
      <x:c r="E31" s="23" t="str">
        <x:v>Paket</x:v>
      </x:c>
      <x:c r="F31" s="9" t="str">
        <x:f>IF(OR(K31=1),"Ja","Nein")</x:f>
        <x:v>Nein</x:v>
      </x:c>
      <x:c r="G31" s="12" t="n">
        <x:f>IF(F31="Ja",D31,0)</x:f>
        <x:v>0</x:v>
      </x:c>
      <x:c r="H31" s="13" t="str">
        <x:f>IF(F31="Nein","Nicht ausgewählt",IF(K31=0,"Automatisch: Voraussetzung",IF(E31="Ja","Individuell ergänzt","Im gewählten Paket")))</x:f>
        <x:v>Nicht ausgewählt</x:v>
      </x:c>
      <x:c r="I31" s="13" t="str">
        <x:v>Keine</x:v>
      </x:c>
      <x:c r="J31" s="25" t="n">
        <x:f>INDEX('Leistungskatalog'!$G$7:$G$41,MATCH($A31,'Leistungskatalog'!$A$7:$A$41,0))</x:f>
        <x:v>18</x:v>
      </x:c>
      <x:c r="K31" s="9" t="n">
        <x:f>IF(E31="Ja",1,IF(E31="Nein",0,IF(E31="Paket",M31,NA())))</x:f>
        <x:v>0</x:v>
      </x:c>
      <x:c r="L31" s="9" t="str">
        <x:f>IF(F31="Ja",COUNTIFS($F$7:F31,"Ja"),"")</x:f>
      </x:c>
      <x:c r="M31" s="9" t="n">
        <x:f>INDEX('Leistungskatalog'!$L$7:$O$41,MATCH($A31,'Leistungskatalog'!$A$7:$A$41,0),'Budget'!$B$6)</x:f>
        <x:v>0</x:v>
      </x:c>
      <x:c r="N31" s="12" t="n">
        <x:f>INDEX('Leistungskatalog'!$D$7:$D$41,MATCH($A31,'Leistungskatalog'!$A$7:$A$41,0))</x:f>
        <x:v>10000</x:v>
      </x:c>
      <x:c r="O31" s="12" t="n">
        <x:f>ROUND(N31-D31,2)</x:f>
        <x:v>2000</x:v>
      </x:c>
      <x:c r="P31" s="9" t="str">
        <x:f>INDEX('Leistungskatalog'!$R$7:$R$41,MATCH($A31,'Leistungskatalog'!$A$7:$A$41,0))</x:f>
        <x:v>Arbeitsleistung</x:v>
      </x:c>
      <x:c r="Q31" s="24" t="n">
        <x:f>INDEX('Leistungskatalog'!$S$7:$S$41,MATCH($A31,'Leistungskatalog'!$A$7:$A$41,0))</x:f>
        <x:v>10.416666666666666</x:v>
      </x:c>
      <x:c r="R31" s="12" t="n">
        <x:f>IF(F31="Ja",N31,0)</x:f>
        <x:v>0</x:v>
      </x:c>
      <x:c r="S31" s="12" t="n">
        <x:f>IF(F31="Ja",O31,0)</x:f>
        <x:v>0</x:v>
      </x:c>
      <x:c r="T31" s="9" t="str">
        <x:f>INDEX('Leistungskatalog'!$J$7:$J$41,MATCH($A31,'Leistungskatalog'!$A$7:$A$41,0))</x:f>
        <x:v>Nein</x:v>
      </x:c>
      <x:c r="U31" s="24" t="n">
        <x:f>IF(AND(F31="Ja",T31="Nein"),INDEX('Leistungskatalog'!$T$7:$T$41,MATCH($A31,'Leistungskatalog'!$A$7:$A$41,0))/1000,0)</x:f>
        <x:v>0</x:v>
      </x:c>
    </x:row>
    <x:row r="32" ht="36" customHeight="1">
      <x:c r="A32" s="19" t="str">
        <x:v>shop</x:v>
      </x:c>
      <x:c r="B32" s="28" t="str">
        <x:f>INDEX('Leistungskatalog'!$B$7:$B$41,MATCH($A32,'Leistungskatalog'!$A$7:$A$41,0))</x:f>
        <x:v>Ausrüstung freischalten</x:v>
      </x:c>
      <x:c r="C32" s="28" t="str">
        <x:f>INDEX('Leistungskatalog'!$C$7:$C$41,MATCH($A32,'Leistungskatalog'!$A$7:$A$41,0))</x:f>
        <x:v>Good to have</x:v>
      </x:c>
      <x:c r="D32" s="29" t="n">
        <x:f>IF(P32="Arbeitsleistung",IF(ISNUMBER('Budget'!$B$10),ROUND(N32*(1-'Budget'!$B$9),2),NA()),N32)</x:f>
        <x:v>4000</x:v>
      </x:c>
      <x:c r="E32" s="23" t="str">
        <x:v>Paket</x:v>
      </x:c>
      <x:c r="F32" s="2" t="str">
        <x:f>IF(OR(K32=1),"Ja","Nein")</x:f>
        <x:v>Nein</x:v>
      </x:c>
      <x:c r="G32" s="11" t="n">
        <x:f>IF(F32="Ja",D32,0)</x:f>
        <x:v>0</x:v>
      </x:c>
      <x:c r="H32" s="15" t="str">
        <x:f>IF(F32="Nein","Nicht ausgewählt",IF(K32=0,"Automatisch: Voraussetzung",IF(E32="Ja","Individuell ergänzt","Im gewählten Paket")))</x:f>
        <x:v>Nicht ausgewählt</x:v>
      </x:c>
      <x:c r="I32" s="15" t="str">
        <x:v>Keine</x:v>
      </x:c>
      <x:c r="J32" s="19" t="n">
        <x:f>INDEX('Leistungskatalog'!$G$7:$G$41,MATCH($A32,'Leistungskatalog'!$A$7:$A$41,0))</x:f>
        <x:v>18</x:v>
      </x:c>
      <x:c r="K32" s="2" t="n">
        <x:f>IF(E32="Ja",1,IF(E32="Nein",0,IF(E32="Paket",M32,NA())))</x:f>
        <x:v>0</x:v>
      </x:c>
      <x:c r="L32" s="2" t="str">
        <x:f>IF(F32="Ja",COUNTIFS($F$7:F32,"Ja"),"")</x:f>
      </x:c>
      <x:c r="M32" s="2" t="n">
        <x:f>INDEX('Leistungskatalog'!$L$7:$O$41,MATCH($A32,'Leistungskatalog'!$A$7:$A$41,0),'Budget'!$B$6)</x:f>
        <x:v>0</x:v>
      </x:c>
      <x:c r="N32" s="11" t="n">
        <x:f>INDEX('Leistungskatalog'!$D$7:$D$41,MATCH($A32,'Leistungskatalog'!$A$7:$A$41,0))</x:f>
        <x:v>5000</x:v>
      </x:c>
      <x:c r="O32" s="11" t="n">
        <x:f>ROUND(N32-D32,2)</x:f>
        <x:v>1000</x:v>
      </x:c>
      <x:c r="P32" s="2" t="str">
        <x:f>INDEX('Leistungskatalog'!$R$7:$R$41,MATCH($A32,'Leistungskatalog'!$A$7:$A$41,0))</x:f>
        <x:v>Arbeitsleistung</x:v>
      </x:c>
      <x:c r="Q32" s="10" t="n">
        <x:f>INDEX('Leistungskatalog'!$S$7:$S$41,MATCH($A32,'Leistungskatalog'!$A$7:$A$41,0))</x:f>
        <x:v>5.208333333333333</x:v>
      </x:c>
      <x:c r="R32" s="11" t="n">
        <x:f>IF(F32="Ja",N32,0)</x:f>
        <x:v>0</x:v>
      </x:c>
      <x:c r="S32" s="11" t="n">
        <x:f>IF(F32="Ja",O32,0)</x:f>
        <x:v>0</x:v>
      </x:c>
      <x:c r="T32" s="2" t="str">
        <x:f>INDEX('Leistungskatalog'!$J$7:$J$41,MATCH($A32,'Leistungskatalog'!$A$7:$A$41,0))</x:f>
        <x:v>Nein</x:v>
      </x:c>
      <x:c r="U32" s="10" t="n">
        <x:f>IF(AND(F32="Ja",T32="Nein"),INDEX('Leistungskatalog'!$T$7:$T$41,MATCH($A32,'Leistungskatalog'!$A$7:$A$41,0))/1000,0)</x:f>
        <x:v>0</x:v>
      </x:c>
    </x:row>
    <x:row r="33" ht="36" customHeight="1">
      <x:c r="A33" s="25" t="str">
        <x:v>swim</x:v>
      </x:c>
      <x:c r="B33" s="26" t="str">
        <x:f>INDEX('Leistungskatalog'!$B$7:$B$41,MATCH($A33,'Leistungskatalog'!$A$7:$A$41,0))</x:f>
        <x:v>Schwimmen &amp; Tauchen</x:v>
      </x:c>
      <x:c r="C33" s="26" t="str">
        <x:f>INDEX('Leistungskatalog'!$C$7:$C$41,MATCH($A33,'Leistungskatalog'!$A$7:$A$41,0))</x:f>
        <x:v>Nice to have</x:v>
      </x:c>
      <x:c r="D33" s="27" t="n">
        <x:f>IF(P33="Arbeitsleistung",IF(ISNUMBER('Budget'!$B$10),ROUND(N33*(1-'Budget'!$B$9),2),NA()),N33)</x:f>
        <x:v>10000</x:v>
      </x:c>
      <x:c r="E33" s="23" t="str">
        <x:v>Paket</x:v>
      </x:c>
      <x:c r="F33" s="9" t="str">
        <x:f>IF(OR(K33=1),"Ja","Nein")</x:f>
        <x:v>Nein</x:v>
      </x:c>
      <x:c r="G33" s="12" t="n">
        <x:f>IF(F33="Ja",D33,0)</x:f>
        <x:v>0</x:v>
      </x:c>
      <x:c r="H33" s="13" t="str">
        <x:f>IF(F33="Nein","Nicht ausgewählt",IF(K33=0,"Automatisch: Voraussetzung",IF(E33="Ja","Individuell ergänzt","Im gewählten Paket")))</x:f>
        <x:v>Nicht ausgewählt</x:v>
      </x:c>
      <x:c r="I33" s="13" t="str">
        <x:v>Keine</x:v>
      </x:c>
      <x:c r="J33" s="25" t="n">
        <x:f>INDEX('Leistungskatalog'!$G$7:$G$41,MATCH($A33,'Leistungskatalog'!$A$7:$A$41,0))</x:f>
        <x:v>21</x:v>
      </x:c>
      <x:c r="K33" s="9" t="n">
        <x:f>IF(E33="Ja",1,IF(E33="Nein",0,IF(E33="Paket",M33,NA())))</x:f>
        <x:v>0</x:v>
      </x:c>
      <x:c r="L33" s="9" t="str">
        <x:f>IF(F33="Ja",COUNTIFS($F$7:F33,"Ja"),"")</x:f>
      </x:c>
      <x:c r="M33" s="9" t="n">
        <x:f>INDEX('Leistungskatalog'!$L$7:$O$41,MATCH($A33,'Leistungskatalog'!$A$7:$A$41,0),'Budget'!$B$6)</x:f>
        <x:v>0</x:v>
      </x:c>
      <x:c r="N33" s="12" t="n">
        <x:f>INDEX('Leistungskatalog'!$D$7:$D$41,MATCH($A33,'Leistungskatalog'!$A$7:$A$41,0))</x:f>
        <x:v>12500</x:v>
      </x:c>
      <x:c r="O33" s="12" t="n">
        <x:f>ROUND(N33-D33,2)</x:f>
        <x:v>2500</x:v>
      </x:c>
      <x:c r="P33" s="9" t="str">
        <x:f>INDEX('Leistungskatalog'!$R$7:$R$41,MATCH($A33,'Leistungskatalog'!$A$7:$A$41,0))</x:f>
        <x:v>Arbeitsleistung</x:v>
      </x:c>
      <x:c r="Q33" s="24" t="n">
        <x:f>INDEX('Leistungskatalog'!$S$7:$S$41,MATCH($A33,'Leistungskatalog'!$A$7:$A$41,0))</x:f>
        <x:v>13.020833333333334</x:v>
      </x:c>
      <x:c r="R33" s="12" t="n">
        <x:f>IF(F33="Ja",N33,0)</x:f>
        <x:v>0</x:v>
      </x:c>
      <x:c r="S33" s="12" t="n">
        <x:f>IF(F33="Ja",O33,0)</x:f>
        <x:v>0</x:v>
      </x:c>
      <x:c r="T33" s="9" t="str">
        <x:f>INDEX('Leistungskatalog'!$J$7:$J$41,MATCH($A33,'Leistungskatalog'!$A$7:$A$41,0))</x:f>
        <x:v>Nein</x:v>
      </x:c>
      <x:c r="U33" s="24" t="n">
        <x:f>IF(AND(F33="Ja",T33="Nein"),INDEX('Leistungskatalog'!$T$7:$T$41,MATCH($A33,'Leistungskatalog'!$A$7:$A$41,0))/1000,0)</x:f>
        <x:v>0</x:v>
      </x:c>
    </x:row>
    <x:row r="34" ht="36" customHeight="1">
      <x:c r="A34" s="19" t="str">
        <x:v>secrets</x:v>
      </x:c>
      <x:c r="B34" s="28" t="str">
        <x:f>INDEX('Leistungskatalog'!$B$7:$B$41,MATCH($A34,'Leistungskatalog'!$A$7:$A$41,0))</x:f>
        <x:v>Geheime Angelspots</x:v>
      </x:c>
      <x:c r="C34" s="28" t="str">
        <x:f>INDEX('Leistungskatalog'!$C$7:$C$41,MATCH($A34,'Leistungskatalog'!$A$7:$A$41,0))</x:f>
        <x:v>Nice to have</x:v>
      </x:c>
      <x:c r="D34" s="29" t="n">
        <x:f>IF(P34="Arbeitsleistung",IF(ISNUMBER('Budget'!$B$10),ROUND(N34*(1-'Budget'!$B$9),2),NA()),N34)</x:f>
        <x:v>2000</x:v>
      </x:c>
      <x:c r="E34" s="23" t="str">
        <x:v>Paket</x:v>
      </x:c>
      <x:c r="F34" s="2" t="str">
        <x:f>IF(OR(K34=1),"Ja","Nein")</x:f>
        <x:v>Nein</x:v>
      </x:c>
      <x:c r="G34" s="11" t="n">
        <x:f>IF(F34="Ja",D34,0)</x:f>
        <x:v>0</x:v>
      </x:c>
      <x:c r="H34" s="15" t="str">
        <x:f>IF(F34="Nein","Nicht ausgewählt",IF(K34=0,"Automatisch: Voraussetzung",IF(E34="Ja","Individuell ergänzt","Im gewählten Paket")))</x:f>
        <x:v>Nicht ausgewählt</x:v>
      </x:c>
      <x:c r="I34" s="15" t="str">
        <x:v>Keine</x:v>
      </x:c>
      <x:c r="J34" s="19" t="n">
        <x:f>INDEX('Leistungskatalog'!$G$7:$G$41,MATCH($A34,'Leistungskatalog'!$A$7:$A$41,0))</x:f>
        <x:v>21</x:v>
      </x:c>
      <x:c r="K34" s="2" t="n">
        <x:f>IF(E34="Ja",1,IF(E34="Nein",0,IF(E34="Paket",M34,NA())))</x:f>
        <x:v>0</x:v>
      </x:c>
      <x:c r="L34" s="2" t="str">
        <x:f>IF(F34="Ja",COUNTIFS($F$7:F34,"Ja"),"")</x:f>
      </x:c>
      <x:c r="M34" s="2" t="n">
        <x:f>INDEX('Leistungskatalog'!$L$7:$O$41,MATCH($A34,'Leistungskatalog'!$A$7:$A$41,0),'Budget'!$B$6)</x:f>
        <x:v>0</x:v>
      </x:c>
      <x:c r="N34" s="11" t="n">
        <x:f>INDEX('Leistungskatalog'!$D$7:$D$41,MATCH($A34,'Leistungskatalog'!$A$7:$A$41,0))</x:f>
        <x:v>2500</x:v>
      </x:c>
      <x:c r="O34" s="11" t="n">
        <x:f>ROUND(N34-D34,2)</x:f>
        <x:v>500</x:v>
      </x:c>
      <x:c r="P34" s="2" t="str">
        <x:f>INDEX('Leistungskatalog'!$R$7:$R$41,MATCH($A34,'Leistungskatalog'!$A$7:$A$41,0))</x:f>
        <x:v>Arbeitsleistung</x:v>
      </x:c>
      <x:c r="Q34" s="10" t="n">
        <x:f>INDEX('Leistungskatalog'!$S$7:$S$41,MATCH($A34,'Leistungskatalog'!$A$7:$A$41,0))</x:f>
        <x:v>2.6041666666666665</x:v>
      </x:c>
      <x:c r="R34" s="11" t="n">
        <x:f>IF(F34="Ja",N34,0)</x:f>
        <x:v>0</x:v>
      </x:c>
      <x:c r="S34" s="11" t="n">
        <x:f>IF(F34="Ja",O34,0)</x:f>
        <x:v>0</x:v>
      </x:c>
      <x:c r="T34" s="2" t="str">
        <x:f>INDEX('Leistungskatalog'!$J$7:$J$41,MATCH($A34,'Leistungskatalog'!$A$7:$A$41,0))</x:f>
        <x:v>Nein</x:v>
      </x:c>
      <x:c r="U34" s="10" t="n">
        <x:f>IF(AND(F34="Ja",T34="Nein"),INDEX('Leistungskatalog'!$T$7:$T$41,MATCH($A34,'Leistungskatalog'!$A$7:$A$41,0))/1000,0)</x:f>
        <x:v>0</x:v>
      </x:c>
    </x:row>
    <x:row r="35" ht="36" customHeight="1">
      <x:c r="A35" s="25" t="str">
        <x:v>exam3d</x:v>
      </x:c>
      <x:c r="B35" s="26" t="str">
        <x:f>INDEX('Leistungskatalog'!$B$7:$B$41,MATCH($A35,'Leistungskatalog'!$A$7:$A$41,0))</x:f>
        <x:v>Prüfungssimulation in 3D</x:v>
      </x:c>
      <x:c r="C35" s="26" t="str">
        <x:f>INDEX('Leistungskatalog'!$C$7:$C$41,MATCH($A35,'Leistungskatalog'!$A$7:$A$41,0))</x:f>
        <x:v>Nice to have</x:v>
      </x:c>
      <x:c r="D35" s="27" t="n">
        <x:f>IF(P35="Arbeitsleistung",IF(ISNUMBER('Budget'!$B$10),ROUND(N35*(1-'Budget'!$B$9),2),NA()),N35)</x:f>
        <x:v>6000</x:v>
      </x:c>
      <x:c r="E35" s="23" t="str">
        <x:v>Paket</x:v>
      </x:c>
      <x:c r="F35" s="9" t="str">
        <x:f>IF(OR(K35=1),"Ja","Nein")</x:f>
        <x:v>Nein</x:v>
      </x:c>
      <x:c r="G35" s="12" t="n">
        <x:f>IF(F35="Ja",D35,0)</x:f>
        <x:v>0</x:v>
      </x:c>
      <x:c r="H35" s="13" t="str">
        <x:f>IF(F35="Nein","Nicht ausgewählt",IF(K35=0,"Automatisch: Voraussetzung",IF(E35="Ja","Individuell ergänzt","Im gewählten Paket")))</x:f>
        <x:v>Nicht ausgewählt</x:v>
      </x:c>
      <x:c r="I35" s="13" t="str">
        <x:v>Keine</x:v>
      </x:c>
      <x:c r="J35" s="25" t="n">
        <x:f>INDEX('Leistungskatalog'!$G$7:$G$41,MATCH($A35,'Leistungskatalog'!$A$7:$A$41,0))</x:f>
        <x:v>21</x:v>
      </x:c>
      <x:c r="K35" s="9" t="n">
        <x:f>IF(E35="Ja",1,IF(E35="Nein",0,IF(E35="Paket",M35,NA())))</x:f>
        <x:v>0</x:v>
      </x:c>
      <x:c r="L35" s="9" t="str">
        <x:f>IF(F35="Ja",COUNTIFS($F$7:F35,"Ja"),"")</x:f>
      </x:c>
      <x:c r="M35" s="9" t="n">
        <x:f>INDEX('Leistungskatalog'!$L$7:$O$41,MATCH($A35,'Leistungskatalog'!$A$7:$A$41,0),'Budget'!$B$6)</x:f>
        <x:v>0</x:v>
      </x:c>
      <x:c r="N35" s="12" t="n">
        <x:f>INDEX('Leistungskatalog'!$D$7:$D$41,MATCH($A35,'Leistungskatalog'!$A$7:$A$41,0))</x:f>
        <x:v>7500</x:v>
      </x:c>
      <x:c r="O35" s="12" t="n">
        <x:f>ROUND(N35-D35,2)</x:f>
        <x:v>1500</x:v>
      </x:c>
      <x:c r="P35" s="9" t="str">
        <x:f>INDEX('Leistungskatalog'!$R$7:$R$41,MATCH($A35,'Leistungskatalog'!$A$7:$A$41,0))</x:f>
        <x:v>Arbeitsleistung</x:v>
      </x:c>
      <x:c r="Q35" s="24" t="n">
        <x:f>INDEX('Leistungskatalog'!$S$7:$S$41,MATCH($A35,'Leistungskatalog'!$A$7:$A$41,0))</x:f>
        <x:v>7.8125</x:v>
      </x:c>
      <x:c r="R35" s="12" t="n">
        <x:f>IF(F35="Ja",N35,0)</x:f>
        <x:v>0</x:v>
      </x:c>
      <x:c r="S35" s="12" t="n">
        <x:f>IF(F35="Ja",O35,0)</x:f>
        <x:v>0</x:v>
      </x:c>
      <x:c r="T35" s="9" t="str">
        <x:f>INDEX('Leistungskatalog'!$J$7:$J$41,MATCH($A35,'Leistungskatalog'!$A$7:$A$41,0))</x:f>
        <x:v>Nein</x:v>
      </x:c>
      <x:c r="U35" s="24" t="n">
        <x:f>IF(AND(F35="Ja",T35="Nein"),INDEX('Leistungskatalog'!$T$7:$T$41,MATCH($A35,'Leistungskatalog'!$A$7:$A$41,0))/1000,0)</x:f>
        <x:v>0</x:v>
      </x:c>
    </x:row>
    <x:row r="36" ht="36" customHeight="1">
      <x:c r="A36" s="19" t="str">
        <x:v>fjord</x:v>
      </x:c>
      <x:c r="B36" s="28" t="str">
        <x:f>INDEX('Leistungskatalog'!$B$7:$B$41,MATCH($A36,'Leistungskatalog'!$A$7:$A$41,0))</x:f>
        <x:v>Zusätzliche internationale Lernorte</x:v>
      </x:c>
      <x:c r="C36" s="28" t="str">
        <x:f>INDEX('Leistungskatalog'!$C$7:$C$41,MATCH($A36,'Leistungskatalog'!$A$7:$A$41,0))</x:f>
        <x:v>Nice to have</x:v>
      </x:c>
      <x:c r="D36" s="29" t="n">
        <x:f>IF(P36="Arbeitsleistung",IF(ISNUMBER('Budget'!$B$10),ROUND(N36*(1-'Budget'!$B$9),2),NA()),N36)</x:f>
        <x:v>12000</x:v>
      </x:c>
      <x:c r="E36" s="23" t="str">
        <x:v>Paket</x:v>
      </x:c>
      <x:c r="F36" s="2" t="str">
        <x:f>IF(OR(K36=1),"Ja","Nein")</x:f>
        <x:v>Nein</x:v>
      </x:c>
      <x:c r="G36" s="11" t="n">
        <x:f>IF(F36="Ja",D36,0)</x:f>
        <x:v>0</x:v>
      </x:c>
      <x:c r="H36" s="15" t="str">
        <x:f>IF(F36="Nein","Nicht ausgewählt",IF(K36=0,"Automatisch: Voraussetzung",IF(E36="Ja","Individuell ergänzt","Im gewählten Paket")))</x:f>
        <x:v>Nicht ausgewählt</x:v>
      </x:c>
      <x:c r="I36" s="15" t="str">
        <x:v>Keine</x:v>
      </x:c>
      <x:c r="J36" s="19" t="n">
        <x:f>INDEX('Leistungskatalog'!$G$7:$G$41,MATCH($A36,'Leistungskatalog'!$A$7:$A$41,0))</x:f>
        <x:v>24</x:v>
      </x:c>
      <x:c r="K36" s="2" t="n">
        <x:f>IF(E36="Ja",1,IF(E36="Nein",0,IF(E36="Paket",M36,NA())))</x:f>
        <x:v>0</x:v>
      </x:c>
      <x:c r="L36" s="2" t="str">
        <x:f>IF(F36="Ja",COUNTIFS($F$7:F36,"Ja"),"")</x:f>
      </x:c>
      <x:c r="M36" s="2" t="n">
        <x:f>INDEX('Leistungskatalog'!$L$7:$O$41,MATCH($A36,'Leistungskatalog'!$A$7:$A$41,0),'Budget'!$B$6)</x:f>
        <x:v>0</x:v>
      </x:c>
      <x:c r="N36" s="11" t="n">
        <x:f>INDEX('Leistungskatalog'!$D$7:$D$41,MATCH($A36,'Leistungskatalog'!$A$7:$A$41,0))</x:f>
        <x:v>15000</x:v>
      </x:c>
      <x:c r="O36" s="11" t="n">
        <x:f>ROUND(N36-D36,2)</x:f>
        <x:v>3000</x:v>
      </x:c>
      <x:c r="P36" s="2" t="str">
        <x:f>INDEX('Leistungskatalog'!$R$7:$R$41,MATCH($A36,'Leistungskatalog'!$A$7:$A$41,0))</x:f>
        <x:v>Arbeitsleistung</x:v>
      </x:c>
      <x:c r="Q36" s="10" t="n">
        <x:f>INDEX('Leistungskatalog'!$S$7:$S$41,MATCH($A36,'Leistungskatalog'!$A$7:$A$41,0))</x:f>
        <x:v>15.625</x:v>
      </x:c>
      <x:c r="R36" s="11" t="n">
        <x:f>IF(F36="Ja",N36,0)</x:f>
        <x:v>0</x:v>
      </x:c>
      <x:c r="S36" s="11" t="n">
        <x:f>IF(F36="Ja",O36,0)</x:f>
        <x:v>0</x:v>
      </x:c>
      <x:c r="T36" s="2" t="str">
        <x:f>INDEX('Leistungskatalog'!$J$7:$J$41,MATCH($A36,'Leistungskatalog'!$A$7:$A$41,0))</x:f>
        <x:v>Nein</x:v>
      </x:c>
      <x:c r="U36" s="10" t="n">
        <x:f>IF(AND(F36="Ja",T36="Nein"),INDEX('Leistungskatalog'!$T$7:$T$41,MATCH($A36,'Leistungskatalog'!$A$7:$A$41,0))/1000,0)</x:f>
        <x:v>0</x:v>
      </x:c>
    </x:row>
    <x:row r="37" ht="36" customHeight="1">
      <x:c r="A37" s="25" t="str">
        <x:v>leaderboard</x:v>
      </x:c>
      <x:c r="B37" s="26" t="str">
        <x:f>INDEX('Leistungskatalog'!$B$7:$B$41,MATCH($A37,'Leistungskatalog'!$A$7:$A$41,0))</x:f>
        <x:v>Gruppen-Bestenlisten</x:v>
      </x:c>
      <x:c r="C37" s="26" t="str">
        <x:f>INDEX('Leistungskatalog'!$C$7:$C$41,MATCH($A37,'Leistungskatalog'!$A$7:$A$41,0))</x:f>
        <x:v>Nice to have</x:v>
      </x:c>
      <x:c r="D37" s="27" t="n">
        <x:f>IF(P37="Arbeitsleistung",IF(ISNUMBER('Budget'!$B$10),ROUND(N37*(1-'Budget'!$B$9),2),NA()),N37)</x:f>
        <x:v>2000</x:v>
      </x:c>
      <x:c r="E37" s="23" t="str">
        <x:v>Paket</x:v>
      </x:c>
      <x:c r="F37" s="9" t="str">
        <x:f>IF(OR(K37=1),"Ja","Nein")</x:f>
        <x:v>Nein</x:v>
      </x:c>
      <x:c r="G37" s="12" t="n">
        <x:f>IF(F37="Ja",D37,0)</x:f>
        <x:v>0</x:v>
      </x:c>
      <x:c r="H37" s="13" t="str">
        <x:f>IF(F37="Nein","Nicht ausgewählt",IF(K37=0,"Automatisch: Voraussetzung",IF(E37="Ja","Individuell ergänzt","Im gewählten Paket")))</x:f>
        <x:v>Nicht ausgewählt</x:v>
      </x:c>
      <x:c r="I37" s="13" t="str">
        <x:v>Keine</x:v>
      </x:c>
      <x:c r="J37" s="25" t="n">
        <x:f>INDEX('Leistungskatalog'!$G$7:$G$41,MATCH($A37,'Leistungskatalog'!$A$7:$A$41,0))</x:f>
        <x:v>21</x:v>
      </x:c>
      <x:c r="K37" s="9" t="n">
        <x:f>IF(E37="Ja",1,IF(E37="Nein",0,IF(E37="Paket",M37,NA())))</x:f>
        <x:v>0</x:v>
      </x:c>
      <x:c r="L37" s="9" t="str">
        <x:f>IF(F37="Ja",COUNTIFS($F$7:F37,"Ja"),"")</x:f>
      </x:c>
      <x:c r="M37" s="9" t="n">
        <x:f>INDEX('Leistungskatalog'!$L$7:$O$41,MATCH($A37,'Leistungskatalog'!$A$7:$A$41,0),'Budget'!$B$6)</x:f>
        <x:v>0</x:v>
      </x:c>
      <x:c r="N37" s="12" t="n">
        <x:f>INDEX('Leistungskatalog'!$D$7:$D$41,MATCH($A37,'Leistungskatalog'!$A$7:$A$41,0))</x:f>
        <x:v>2500</x:v>
      </x:c>
      <x:c r="O37" s="12" t="n">
        <x:f>ROUND(N37-D37,2)</x:f>
        <x:v>500</x:v>
      </x:c>
      <x:c r="P37" s="9" t="str">
        <x:f>INDEX('Leistungskatalog'!$R$7:$R$41,MATCH($A37,'Leistungskatalog'!$A$7:$A$41,0))</x:f>
        <x:v>Arbeitsleistung</x:v>
      </x:c>
      <x:c r="Q37" s="24" t="n">
        <x:f>INDEX('Leistungskatalog'!$S$7:$S$41,MATCH($A37,'Leistungskatalog'!$A$7:$A$41,0))</x:f>
        <x:v>2.6041666666666665</x:v>
      </x:c>
      <x:c r="R37" s="12" t="n">
        <x:f>IF(F37="Ja",N37,0)</x:f>
        <x:v>0</x:v>
      </x:c>
      <x:c r="S37" s="12" t="n">
        <x:f>IF(F37="Ja",O37,0)</x:f>
        <x:v>0</x:v>
      </x:c>
      <x:c r="T37" s="9" t="str">
        <x:f>INDEX('Leistungskatalog'!$J$7:$J$41,MATCH($A37,'Leistungskatalog'!$A$7:$A$41,0))</x:f>
        <x:v>Nein</x:v>
      </x:c>
      <x:c r="U37" s="24" t="n">
        <x:f>IF(AND(F37="Ja",T37="Nein"),INDEX('Leistungskatalog'!$T$7:$T$41,MATCH($A37,'Leistungskatalog'!$A$7:$A$41,0))/1000,0)</x:f>
        <x:v>0</x:v>
      </x:c>
    </x:row>
    <x:row r="38" ht="36" customHeight="1">
      <x:c r="A38" s="19" t="str">
        <x:v>steam</x:v>
      </x:c>
      <x:c r="B38" s="28" t="str">
        <x:f>INDEX('Leistungskatalog'!$B$7:$B$41,MATCH($A38,'Leistungskatalog'!$A$7:$A$41,0))</x:f>
        <x:v>Steam &amp; Steam Deck</x:v>
      </x:c>
      <x:c r="C38" s="28" t="str">
        <x:f>INDEX('Leistungskatalog'!$C$7:$C$41,MATCH($A38,'Leistungskatalog'!$A$7:$A$41,0))</x:f>
        <x:v>Nice to have</x:v>
      </x:c>
      <x:c r="D38" s="29" t="n">
        <x:f>IF(P38="Arbeitsleistung",IF(ISNUMBER('Budget'!$B$10),ROUND(N38*(1-'Budget'!$B$9),2),NA()),N38)</x:f>
        <x:v>6000</x:v>
      </x:c>
      <x:c r="E38" s="23" t="str">
        <x:v>Paket</x:v>
      </x:c>
      <x:c r="F38" s="2" t="str">
        <x:f>IF(OR(K38=1),"Ja","Nein")</x:f>
        <x:v>Nein</x:v>
      </x:c>
      <x:c r="G38" s="11" t="n">
        <x:f>IF(F38="Ja",D38,0)</x:f>
        <x:v>0</x:v>
      </x:c>
      <x:c r="H38" s="15" t="str">
        <x:f>IF(F38="Nein","Nicht ausgewählt",IF(K38=0,"Automatisch: Voraussetzung",IF(E38="Ja","Individuell ergänzt","Im gewählten Paket")))</x:f>
        <x:v>Nicht ausgewählt</x:v>
      </x:c>
      <x:c r="I38" s="15" t="str">
        <x:v>Desktop-Version</x:v>
      </x:c>
      <x:c r="J38" s="19" t="n">
        <x:f>INDEX('Leistungskatalog'!$G$7:$G$41,MATCH($A38,'Leistungskatalog'!$A$7:$A$41,0))</x:f>
        <x:v>24</x:v>
      </x:c>
      <x:c r="K38" s="2" t="n">
        <x:f>IF(E38="Ja",1,IF(E38="Nein",0,IF(E38="Paket",M38,NA())))</x:f>
        <x:v>0</x:v>
      </x:c>
      <x:c r="L38" s="2" t="str">
        <x:f>IF(F38="Ja",COUNTIFS($F$7:F38,"Ja"),"")</x:f>
      </x:c>
      <x:c r="M38" s="2" t="n">
        <x:f>INDEX('Leistungskatalog'!$L$7:$O$41,MATCH($A38,'Leistungskatalog'!$A$7:$A$41,0),'Budget'!$B$6)</x:f>
        <x:v>0</x:v>
      </x:c>
      <x:c r="N38" s="11" t="n">
        <x:f>INDEX('Leistungskatalog'!$D$7:$D$41,MATCH($A38,'Leistungskatalog'!$A$7:$A$41,0))</x:f>
        <x:v>7500</x:v>
      </x:c>
      <x:c r="O38" s="11" t="n">
        <x:f>ROUND(N38-D38,2)</x:f>
        <x:v>1500</x:v>
      </x:c>
      <x:c r="P38" s="2" t="str">
        <x:f>INDEX('Leistungskatalog'!$R$7:$R$41,MATCH($A38,'Leistungskatalog'!$A$7:$A$41,0))</x:f>
        <x:v>Arbeitsleistung</x:v>
      </x:c>
      <x:c r="Q38" s="10" t="n">
        <x:f>INDEX('Leistungskatalog'!$S$7:$S$41,MATCH($A38,'Leistungskatalog'!$A$7:$A$41,0))</x:f>
        <x:v>7.8125</x:v>
      </x:c>
      <x:c r="R38" s="11" t="n">
        <x:f>IF(F38="Ja",N38,0)</x:f>
        <x:v>0</x:v>
      </x:c>
      <x:c r="S38" s="11" t="n">
        <x:f>IF(F38="Ja",O38,0)</x:f>
        <x:v>0</x:v>
      </x:c>
      <x:c r="T38" s="2" t="str">
        <x:f>INDEX('Leistungskatalog'!$J$7:$J$41,MATCH($A38,'Leistungskatalog'!$A$7:$A$41,0))</x:f>
        <x:v>Nein</x:v>
      </x:c>
      <x:c r="U38" s="10" t="n">
        <x:f>IF(AND(F38="Ja",T38="Nein"),INDEX('Leistungskatalog'!$T$7:$T$41,MATCH($A38,'Leistungskatalog'!$A$7:$A$41,0))/1000,0)</x:f>
        <x:v>0</x:v>
      </x:c>
    </x:row>
    <x:row r="39" ht="36" customHeight="1">
      <x:c r="A39" s="25" t="str">
        <x:v>fast</x:v>
      </x:c>
      <x:c r="B39" s="26" t="str">
        <x:f>INDEX('Leistungskatalog'!$B$7:$B$41,MATCH($A39,'Leistungskatalog'!$A$7:$A$41,0))</x:f>
        <x:v>Priorisierte Pflege</x:v>
      </x:c>
      <x:c r="C39" s="26" t="str">
        <x:f>INDEX('Leistungskatalog'!$C$7:$C$41,MATCH($A39,'Leistungskatalog'!$A$7:$A$41,0))</x:f>
        <x:v>Nice to have</x:v>
      </x:c>
      <x:c r="D39" s="27" t="n">
        <x:f>IF(P39="Arbeitsleistung",IF(ISNUMBER('Budget'!$B$10),ROUND(N39*(1-'Budget'!$B$9),2),NA()),N39)</x:f>
        <x:v>2000</x:v>
      </x:c>
      <x:c r="E39" s="23" t="str">
        <x:v>Paket</x:v>
      </x:c>
      <x:c r="F39" s="9" t="str">
        <x:f>IF(OR(K39=1),"Ja","Nein")</x:f>
        <x:v>Nein</x:v>
      </x:c>
      <x:c r="G39" s="12" t="n">
        <x:f>IF(F39="Ja",D39,0)</x:f>
        <x:v>0</x:v>
      </x:c>
      <x:c r="H39" s="13" t="str">
        <x:f>IF(F39="Nein","Nicht ausgewählt",IF(K39=0,"Automatisch: Voraussetzung",IF(E39="Ja","Individuell ergänzt","Im gewählten Paket")))</x:f>
        <x:v>Nicht ausgewählt</x:v>
      </x:c>
      <x:c r="I39" s="13" t="str">
        <x:v>Keine</x:v>
      </x:c>
      <x:c r="J39" s="25" t="n">
        <x:f>INDEX('Leistungskatalog'!$G$7:$G$41,MATCH($A39,'Leistungskatalog'!$A$7:$A$41,0))</x:f>
        <x:v>36</x:v>
      </x:c>
      <x:c r="K39" s="9" t="n">
        <x:f>IF(E39="Ja",1,IF(E39="Nein",0,IF(E39="Paket",M39,NA())))</x:f>
        <x:v>0</x:v>
      </x:c>
      <x:c r="L39" s="9" t="str">
        <x:f>IF(F39="Ja",COUNTIFS($F$7:F39,"Ja"),"")</x:f>
      </x:c>
      <x:c r="M39" s="9" t="n">
        <x:f>INDEX('Leistungskatalog'!$L$7:$O$41,MATCH($A39,'Leistungskatalog'!$A$7:$A$41,0),'Budget'!$B$6)</x:f>
        <x:v>0</x:v>
      </x:c>
      <x:c r="N39" s="12" t="n">
        <x:f>INDEX('Leistungskatalog'!$D$7:$D$41,MATCH($A39,'Leistungskatalog'!$A$7:$A$41,0))</x:f>
        <x:v>2500</x:v>
      </x:c>
      <x:c r="O39" s="12" t="n">
        <x:f>ROUND(N39-D39,2)</x:f>
        <x:v>500</x:v>
      </x:c>
      <x:c r="P39" s="9" t="str">
        <x:f>INDEX('Leistungskatalog'!$R$7:$R$41,MATCH($A39,'Leistungskatalog'!$A$7:$A$41,0))</x:f>
        <x:v>Arbeitsleistung</x:v>
      </x:c>
      <x:c r="Q39" s="24" t="n">
        <x:f>INDEX('Leistungskatalog'!$S$7:$S$41,MATCH($A39,'Leistungskatalog'!$A$7:$A$41,0))</x:f>
        <x:v>2.6041666666666665</x:v>
      </x:c>
      <x:c r="R39" s="12" t="n">
        <x:f>IF(F39="Ja",N39,0)</x:f>
        <x:v>0</x:v>
      </x:c>
      <x:c r="S39" s="12" t="n">
        <x:f>IF(F39="Ja",O39,0)</x:f>
        <x:v>0</x:v>
      </x:c>
      <x:c r="T39" s="9" t="str">
        <x:f>INDEX('Leistungskatalog'!$J$7:$J$41,MATCH($A39,'Leistungskatalog'!$A$7:$A$41,0))</x:f>
        <x:v>Ja</x:v>
      </x:c>
      <x:c r="U39" s="24" t="n">
        <x:f>IF(AND(F39="Ja",T39="Nein"),INDEX('Leistungskatalog'!$T$7:$T$41,MATCH($A39,'Leistungskatalog'!$A$7:$A$41,0))/1000,0)</x:f>
        <x:v>0</x:v>
      </x:c>
    </x:row>
    <x:row r="40" ht="36" customHeight="1">
      <x:c r="A40" s="19" t="str">
        <x:v>web</x:v>
      </x:c>
      <x:c r="B40" s="28" t="str">
        <x:f>INDEX('Leistungskatalog'!$B$7:$B$41,MATCH($A40,'Leistungskatalog'!$A$7:$A$41,0))</x:f>
        <x:v>Projekt-Webauftritt</x:v>
      </x:c>
      <x:c r="C40" s="28" t="str">
        <x:f>INDEX('Leistungskatalog'!$C$7:$C$41,MATCH($A40,'Leistungskatalog'!$A$7:$A$41,0))</x:f>
        <x:v>Good to have</x:v>
      </x:c>
      <x:c r="D40" s="29" t="n">
        <x:f>IF(P40="Arbeitsleistung",IF(ISNUMBER('Budget'!$B$10),ROUND(N40*(1-'Budget'!$B$9),2),NA()),N40)</x:f>
        <x:v>4000</x:v>
      </x:c>
      <x:c r="E40" s="23" t="str">
        <x:v>Paket</x:v>
      </x:c>
      <x:c r="F40" s="2" t="str">
        <x:f>IF(OR(K40=1),"Ja","Nein")</x:f>
        <x:v>Nein</x:v>
      </x:c>
      <x:c r="G40" s="11" t="n">
        <x:f>IF(F40="Ja",D40,0)</x:f>
        <x:v>0</x:v>
      </x:c>
      <x:c r="H40" s="15" t="str">
        <x:f>IF(F40="Nein","Nicht ausgewählt",IF(K40=0,"Automatisch: Voraussetzung",IF(E40="Ja","Individuell ergänzt","Im gewählten Paket")))</x:f>
        <x:v>Nicht ausgewählt</x:v>
      </x:c>
      <x:c r="I40" s="15" t="str">
        <x:v>Keine</x:v>
      </x:c>
      <x:c r="J40" s="19" t="n">
        <x:f>INDEX('Leistungskatalog'!$G$7:$G$41,MATCH($A40,'Leistungskatalog'!$A$7:$A$41,0))</x:f>
        <x:v>18</x:v>
      </x:c>
      <x:c r="K40" s="2" t="n">
        <x:f>IF(E40="Ja",1,IF(E40="Nein",0,IF(E40="Paket",M40,NA())))</x:f>
        <x:v>0</x:v>
      </x:c>
      <x:c r="L40" s="2" t="str">
        <x:f>IF(F40="Ja",COUNTIFS($F$7:F40,"Ja"),"")</x:f>
      </x:c>
      <x:c r="M40" s="2" t="n">
        <x:f>INDEX('Leistungskatalog'!$L$7:$O$41,MATCH($A40,'Leistungskatalog'!$A$7:$A$41,0),'Budget'!$B$6)</x:f>
        <x:v>0</x:v>
      </x:c>
      <x:c r="N40" s="11" t="n">
        <x:f>INDEX('Leistungskatalog'!$D$7:$D$41,MATCH($A40,'Leistungskatalog'!$A$7:$A$41,0))</x:f>
        <x:v>5000</x:v>
      </x:c>
      <x:c r="O40" s="11" t="n">
        <x:f>ROUND(N40-D40,2)</x:f>
        <x:v>1000</x:v>
      </x:c>
      <x:c r="P40" s="2" t="str">
        <x:f>INDEX('Leistungskatalog'!$R$7:$R$41,MATCH($A40,'Leistungskatalog'!$A$7:$A$41,0))</x:f>
        <x:v>Arbeitsleistung</x:v>
      </x:c>
      <x:c r="Q40" s="10" t="n">
        <x:f>INDEX('Leistungskatalog'!$S$7:$S$41,MATCH($A40,'Leistungskatalog'!$A$7:$A$41,0))</x:f>
        <x:v>5.208333333333333</x:v>
      </x:c>
      <x:c r="R40" s="11" t="n">
        <x:f>IF(F40="Ja",N40,0)</x:f>
        <x:v>0</x:v>
      </x:c>
      <x:c r="S40" s="11" t="n">
        <x:f>IF(F40="Ja",O40,0)</x:f>
        <x:v>0</x:v>
      </x:c>
      <x:c r="T40" s="2" t="str">
        <x:f>INDEX('Leistungskatalog'!$J$7:$J$41,MATCH($A40,'Leistungskatalog'!$A$7:$A$41,0))</x:f>
        <x:v>Nein</x:v>
      </x:c>
      <x:c r="U40" s="10" t="n">
        <x:f>IF(AND(F40="Ja",T40="Nein"),INDEX('Leistungskatalog'!$T$7:$T$41,MATCH($A40,'Leistungskatalog'!$A$7:$A$41,0))/1000,0)</x:f>
        <x:v>0</x:v>
      </x:c>
    </x:row>
    <x:row r="41" ht="36" customHeight="1">
      <x:c r="A41" s="25" t="str">
        <x:v>extendedqa</x:v>
      </x:c>
      <x:c r="B41" s="26" t="str">
        <x:f>INDEX('Leistungskatalog'!$B$7:$B$41,MATCH($A41,'Leistungskatalog'!$A$7:$A$41,0))</x:f>
        <x:v>Intensive Langzeittests</x:v>
      </x:c>
      <x:c r="C41" s="26" t="str">
        <x:f>INDEX('Leistungskatalog'!$C$7:$C$41,MATCH($A41,'Leistungskatalog'!$A$7:$A$41,0))</x:f>
        <x:v>Nice to have</x:v>
      </x:c>
      <x:c r="D41" s="27" t="n">
        <x:f>IF(P41="Arbeitsleistung",IF(ISNUMBER('Budget'!$B$10),ROUND(N41*(1-'Budget'!$B$9),2),NA()),N41)</x:f>
        <x:v>10000</x:v>
      </x:c>
      <x:c r="E41" s="23" t="str">
        <x:v>Paket</x:v>
      </x:c>
      <x:c r="F41" s="9" t="str">
        <x:f>IF(OR(K41=1),"Ja","Nein")</x:f>
        <x:v>Nein</x:v>
      </x:c>
      <x:c r="G41" s="12" t="n">
        <x:f>IF(F41="Ja",D41,0)</x:f>
        <x:v>0</x:v>
      </x:c>
      <x:c r="H41" s="13" t="str">
        <x:f>IF(F41="Nein","Nicht ausgewählt",IF(K41=0,"Automatisch: Voraussetzung",IF(E41="Ja","Individuell ergänzt","Im gewählten Paket")))</x:f>
        <x:v>Nicht ausgewählt</x:v>
      </x:c>
      <x:c r="I41" s="13" t="str">
        <x:v>Keine</x:v>
      </x:c>
      <x:c r="J41" s="25" t="n">
        <x:f>INDEX('Leistungskatalog'!$G$7:$G$41,MATCH($A41,'Leistungskatalog'!$A$7:$A$41,0))</x:f>
        <x:v>30</x:v>
      </x:c>
      <x:c r="K41" s="9" t="n">
        <x:f>IF(E41="Ja",1,IF(E41="Nein",0,IF(E41="Paket",M41,NA())))</x:f>
        <x:v>0</x:v>
      </x:c>
      <x:c r="L41" s="9" t="str">
        <x:f>IF(F41="Ja",COUNTIFS($F$7:F41,"Ja"),"")</x:f>
      </x:c>
      <x:c r="M41" s="9" t="n">
        <x:f>INDEX('Leistungskatalog'!$L$7:$O$41,MATCH($A41,'Leistungskatalog'!$A$7:$A$41,0),'Budget'!$B$6)</x:f>
        <x:v>0</x:v>
      </x:c>
      <x:c r="N41" s="12" t="n">
        <x:f>INDEX('Leistungskatalog'!$D$7:$D$41,MATCH($A41,'Leistungskatalog'!$A$7:$A$41,0))</x:f>
        <x:v>12500</x:v>
      </x:c>
      <x:c r="O41" s="12" t="n">
        <x:f>ROUND(N41-D41,2)</x:f>
        <x:v>2500</x:v>
      </x:c>
      <x:c r="P41" s="9" t="str">
        <x:f>INDEX('Leistungskatalog'!$R$7:$R$41,MATCH($A41,'Leistungskatalog'!$A$7:$A$41,0))</x:f>
        <x:v>Arbeitsleistung</x:v>
      </x:c>
      <x:c r="Q41" s="24" t="n">
        <x:f>INDEX('Leistungskatalog'!$S$7:$S$41,MATCH($A41,'Leistungskatalog'!$A$7:$A$41,0))</x:f>
        <x:v>13.020833333333334</x:v>
      </x:c>
      <x:c r="R41" s="12" t="n">
        <x:f>IF(F41="Ja",N41,0)</x:f>
        <x:v>0</x:v>
      </x:c>
      <x:c r="S41" s="12" t="n">
        <x:f>IF(F41="Ja",O41,0)</x:f>
        <x:v>0</x:v>
      </x:c>
      <x:c r="T41" s="9" t="str">
        <x:f>INDEX('Leistungskatalog'!$J$7:$J$41,MATCH($A41,'Leistungskatalog'!$A$7:$A$41,0))</x:f>
        <x:v>Nein</x:v>
      </x:c>
      <x:c r="U41" s="24" t="n">
        <x:f>IF(AND(F41="Ja",T41="Nein"),INDEX('Leistungskatalog'!$T$7:$T$41,MATCH($A41,'Leistungskatalog'!$A$7:$A$41,0))/1000,0)</x:f>
        <x:v>0</x:v>
      </x:c>
    </x:row>
  </x:sheetData>
  <x:conditionalFormatting sqref="F7:H41">
    <x:cfRule type="expression" dxfId="0" priority="1">
      <x:formula>$H7="Automatisch: Voraussetzung"</x:formula>
    </x:cfRule>
  </x:conditionalFormatting>
  <x:conditionalFormatting sqref="E7:E41">
    <x:cfRule type="expression" dxfId="1" priority="2">
      <x:formula>AND($E7="Nein",$F7="Ja")</x:formula>
    </x:cfRule>
  </x:conditionalFormatting>
  <x:dataValidations count="24">
    <x:dataValidation type="list" sqref="E18">
      <x:formula1>"Paket,Ja,Nein"</x:formula1>
    </x:dataValidation>
    <x:dataValidation type="list" sqref="E19">
      <x:formula1>"Paket,Ja,Nein"</x:formula1>
    </x:dataValidation>
    <x:dataValidation type="list" sqref="E20">
      <x:formula1>"Paket,Ja,Nein"</x:formula1>
    </x:dataValidation>
    <x:dataValidation type="list" sqref="E21">
      <x:formula1>"Paket,Ja,Nein"</x:formula1>
    </x:dataValidation>
    <x:dataValidation type="list" sqref="E22">
      <x:formula1>"Paket,Ja,Nein"</x:formula1>
    </x:dataValidation>
    <x:dataValidation type="list" sqref="E23">
      <x:formula1>"Paket,Ja,Nein"</x:formula1>
    </x:dataValidation>
    <x:dataValidation type="list" sqref="E24">
      <x:formula1>"Paket,Ja,Nein"</x:formula1>
    </x:dataValidation>
    <x:dataValidation type="list" sqref="E25">
      <x:formula1>"Paket,Ja,Nein"</x:formula1>
    </x:dataValidation>
    <x:dataValidation type="list" sqref="E26">
      <x:formula1>"Paket,Ja,Nein"</x:formula1>
    </x:dataValidation>
    <x:dataValidation type="list" sqref="E27">
      <x:formula1>"Paket,Ja,Nein"</x:formula1>
    </x:dataValidation>
    <x:dataValidation type="list" sqref="E28">
      <x:formula1>"Paket,Ja,Nein"</x:formula1>
    </x:dataValidation>
    <x:dataValidation type="list" sqref="E29">
      <x:formula1>"Paket,Ja,Nein"</x:formula1>
    </x:dataValidation>
    <x:dataValidation type="list" sqref="E30">
      <x:formula1>"Paket,Ja,Nein"</x:formula1>
    </x:dataValidation>
    <x:dataValidation type="list" sqref="E31">
      <x:formula1>"Paket,Ja,Nein"</x:formula1>
    </x:dataValidation>
    <x:dataValidation type="list" sqref="E32">
      <x:formula1>"Paket,Ja,Nein"</x:formula1>
    </x:dataValidation>
    <x:dataValidation type="list" sqref="E33">
      <x:formula1>"Paket,Ja,Nein"</x:formula1>
    </x:dataValidation>
    <x:dataValidation type="list" sqref="E34">
      <x:formula1>"Paket,Ja,Nein"</x:formula1>
    </x:dataValidation>
    <x:dataValidation type="list" sqref="E35">
      <x:formula1>"Paket,Ja,Nein"</x:formula1>
    </x:dataValidation>
    <x:dataValidation type="list" sqref="E36">
      <x:formula1>"Paket,Ja,Nein"</x:formula1>
    </x:dataValidation>
    <x:dataValidation type="list" sqref="E37">
      <x:formula1>"Paket,Ja,Nein"</x:formula1>
    </x:dataValidation>
    <x:dataValidation type="list" sqref="E38">
      <x:formula1>"Paket,Ja,Nein"</x:formula1>
    </x:dataValidation>
    <x:dataValidation type="list" sqref="E39">
      <x:formula1>"Paket,Ja,Nein"</x:formula1>
    </x:dataValidation>
    <x:dataValidation type="list" sqref="E40">
      <x:formula1>"Paket,Ja,Nein"</x:formula1>
    </x:dataValidation>
    <x:dataValidation type="list" sqref="E41">
      <x:formula1>"Paket,Ja,Nein"</x:formula1>
    </x:dataValidation>
  </x:dataValidations>
  <x:pageMargins left="0.7" right="0.7" top="0.75" bottom="0.75" header="0.3" footer="0.3"/>
  <x:tableParts count="1">
    <x:tablePart xmlns:r="http://schemas.openxmlformats.org/officeDocument/2006/relationships" r:id="Re9d85a693e7a4d48"/>
  </x:tableParts>
</x:worksheet>
</file>

<file path=xl/worksheets/sheet3.xml><?xml version="1.0" encoding="utf-8"?>
<x:worksheet xmlns:x="http://schemas.openxmlformats.org/spreadsheetml/2006/main">
  <x:sheetPr>
    <x:tabColor rgb="FFB46A4B"/>
  </x:sheetPr>
  <x:sheetViews>
    <x:sheetView showGridLines="0" workbookViewId="0">
      <x:pane xSplit="2" ySplit="6" topLeftCell="C7" activePane="bottomRight" state="frozen"/>
    </x:sheetView>
  </x:sheetViews>
  <x:sheetFormatPr defaultRowHeight="15"/>
  <x:cols>
    <x:col min="1" max="1" width="15" hidden="0" customWidth="1"/>
    <x:col min="2" max="2" width="33" hidden="0" customWidth="1"/>
    <x:col min="3" max="3" width="43" hidden="0" customWidth="1"/>
    <x:col min="4" max="4" width="14" hidden="0" customWidth="1"/>
    <x:col min="5" max="5" width="25" hidden="0" customWidth="1"/>
    <x:col min="6" max="6" width="95" hidden="0" customWidth="1"/>
  </x:cols>
  <x:sheetData>
    <x:row r="1" ht="23" customHeight="1">
      <x:c r="A1" s="2"/>
      <x:c r="B1" s="2"/>
      <x:c r="C1" s="2"/>
      <x:c r="D1" s="2"/>
      <x:c r="E1" s="2"/>
      <x:c r="F1" s="2"/>
    </x:row>
    <x:row r="2" ht="30" customHeight="1">
      <x:c r="A2" s="3" t="str">
        <x:v>Zukunftsideen vormerken</x:v>
      </x:c>
      <x:c r="B2" s="3"/>
      <x:c r="C2" s="3"/>
      <x:c r="D2" s="3"/>
      <x:c r="E2" s="3"/>
      <x:c r="F2" s="3"/>
    </x:row>
    <x:row r="3" ht="23" customHeight="1">
      <x:c r="A3" s="4"/>
      <x:c r="B3" s="4"/>
      <x:c r="C3" s="4"/>
      <x:c r="D3" s="4"/>
      <x:c r="E3" s="4"/>
      <x:c r="F3" s="4"/>
    </x:row>
    <x:row r="4" ht="23" customHeight="1">
      <x:c r="A4" s="2" t="str">
        <x:v>Langfristige Interessen außerhalb des aktuellen Auftrags. Ohne Preisansatz, Liefertermin oder automatische Voraussetzungen.</x:v>
      </x:c>
      <x:c r="B4" s="2"/>
      <x:c r="C4" s="2"/>
      <x:c r="D4" s="2"/>
      <x:c r="E4" s="2"/>
      <x:c r="F4" s="2"/>
    </x:row>
    <x:row r="5" ht="23" customHeight="1">
      <x:c r="A5" s="2" t="str">
        <x:v>Gelbe Felder: Ja oder Nein. Ein vorgemerktes Interesse ist keine Beauftragung.</x:v>
      </x:c>
      <x:c r="B5" s="2"/>
      <x:c r="C5" s="2"/>
      <x:c r="D5" s="2"/>
      <x:c r="E5" s="2"/>
      <x:c r="F5" s="2"/>
    </x:row>
    <x:row r="6" ht="30" customHeight="1">
      <x:c r="A6" s="8" t="str">
        <x:v>ID</x:v>
      </x:c>
      <x:c r="B6" s="8" t="str">
        <x:v>Idee</x:v>
      </x:c>
      <x:c r="C6" s="8" t="str">
        <x:v>Kurzbeschreibung</x:v>
      </x:c>
      <x:c r="D6" s="8" t="str">
        <x:v>Interesse</x:v>
      </x:c>
      <x:c r="E6" s="8" t="str">
        <x:v>Preis</x:v>
      </x:c>
      <x:c r="F6" s="8" t="str">
        <x:v>Idee zur Besprechung</x:v>
      </x:c>
    </x:row>
    <x:row r="7" ht="90" customHeight="1">
      <x:c r="A7" s="17" t="str">
        <x:v>gamescom</x:v>
      </x:c>
      <x:c r="B7" s="17" t="str">
        <x:v>Messeauftritte</x:v>
      </x:c>
      <x:c r="C7" s="17" t="str">
        <x:v>Gamescom und ausgewählte EdTech-Messen gemeinsam planen und begleiten.</x:v>
      </x:c>
      <x:c r="D7" s="32" t="str">
        <x:v>Nein</x:v>
      </x:c>
      <x:c r="E7" s="17" t="str">
        <x:v>Preis nach Klärung</x:v>
      </x:c>
      <x:c r="F7" s="17" t="str">
        <x:v>Gamescom-Auftritt: Mögliche Planung und Demofassung für einen gemeinsamen Gamescom-Auftritt. Ziel, Standgröße, Reise- und Personalbedarf sowie mögliche Partner gemeinsam besprechen; Aufwand und Preis bleiben offen. EdTech-Messetour: Mögliche Präsenz auf ausgewählten EdTech-Veranstaltungen. Gemeinsam passende Formate und Ziele bestimmen; Anzahl der Auftritte, Standangebote, Reiseaufwand und Preis sind noch offen.</x:v>
      </x:c>
    </x:row>
    <x:row r="8" ht="90" customHeight="1">
      <x:c r="A8" s="18" t="str">
        <x:v>product</x:v>
      </x:c>
      <x:c r="B8" s="18" t="str">
        <x:v>Ausrüster-Kooperation</x:v>
      </x:c>
      <x:c r="C8" s="18" t="str">
        <x:v>Ein gemeinsames Produktkonzept entwickeln.</x:v>
      </x:c>
      <x:c r="D8" s="32" t="str">
        <x:v>Nein</x:v>
      </x:c>
      <x:c r="E8" s="18" t="str">
        <x:v>Preis nach Klärung</x:v>
      </x:c>
      <x:c r="F8" s="18" t="str">
        <x:v>Partneransprache, Workshop und ein digitales Kooperationskonzept. Kein garantierter Vertrag, keine Serienfertigung oder Übernahme von Sponsorleistungen.</x:v>
      </x:c>
    </x:row>
    <x:row r="9" ht="90" customHeight="1">
      <x:c r="A9" s="17" t="str">
        <x:v>fantasy</x:v>
      </x:c>
      <x:c r="B9" s="17" t="str">
        <x:v>Geheimes Fantasie-Biom</x:v>
      </x:c>
      <x:c r="C9" s="17" t="str">
        <x:v>Ein leuchtender See als Entdeckungsort.</x:v>
      </x:c>
      <x:c r="D9" s="32" t="str">
        <x:v>Nein</x:v>
      </x:c>
      <x:c r="E9" s="17" t="str">
        <x:v>Preis nach Klärung</x:v>
      </x:c>
      <x:c r="F9" s="17" t="str">
        <x:v>Ein kleines fantastisches Biom mit bis zu drei erfundenen Fischarten, klar von realem Lernwissen getrennt. Keine umfangreiche zweite Spielwelt.</x:v>
      </x:c>
    </x:row>
    <x:row r="10" ht="90" customHeight="1">
      <x:c r="A10" s="18" t="str">
        <x:v>coop</x:v>
      </x:c>
      <x:c r="B10" s="18" t="str">
        <x:v>Multiplayer / Koop</x:v>
      </x:c>
      <x:c r="C10" s="18" t="str">
        <x:v>Zusammen an einem Gewässer lernen.</x:v>
      </x:c>
      <x:c r="D10" s="32" t="str">
        <x:v>Nein</x:v>
      </x:c>
      <x:c r="E10" s="18" t="str">
        <x:v>Preis nach Klärung</x:v>
      </x:c>
      <x:c r="F10" s="18" t="str">
        <x:v>Kooperative Sessions für bis zu vier Personen, Lobby, Zustandssynchronisierung und Lasttests. Ohne freien Sprach-/Textchat; zusätzlicher Hostingbedarf separat. Technik-Prototyp als frühes Entscheidungstor.</x:v>
      </x:c>
    </x:row>
    <x:row r="11" ht="90" customHeight="1">
      <x:c r="A11" s="17" t="str">
        <x:v>ar</x:v>
      </x:c>
      <x:c r="B11" s="17" t="str">
        <x:v>AR auf dem Smartphone</x:v>
      </x:c>
      <x:c r="C11" s="17" t="str">
        <x:v>Ein Fisch wird zum räumlichen Lernobjekt.</x:v>
      </x:c>
      <x:c r="D11" s="32" t="str">
        <x:v>Nein</x:v>
      </x:c>
      <x:c r="E11" s="17" t="str">
        <x:v>Preis nach Klärung</x:v>
      </x:c>
      <x:c r="F11" s="17" t="str">
        <x:v>Ein AR-Lernszenario mit drei vorhandenen Fischmodellen auf einer vereinbarten iOS-/Android-Gerätematrix. Kein standortweites AR-Spiel.</x:v>
      </x:c>
    </x:row>
    <x:row r="12" ht="90" customHeight="1">
      <x:c r="A12" s="18" t="str">
        <x:v>boardgame</x:v>
      </x:c>
      <x:c r="B12" s="18" t="str">
        <x:v>Brettspiel-Prototyp</x:v>
      </x:c>
      <x:c r="C12" s="18" t="str">
        <x:v>Die Lernwelt auf dem Tisch.</x:v>
      </x:c>
      <x:c r="D12" s="32" t="str">
        <x:v>Nein</x:v>
      </x:c>
      <x:c r="E12" s="18" t="str">
        <x:v>Preis nach Klärung</x:v>
      </x:c>
      <x:c r="F12" s="18" t="str">
        <x:v>Spielkonzept, Balancing, Grafik und ein druckbarer Prototyp. Druckauflage, Logistik, Vertrieb und Produktsicherheit nicht enthalten.</x:v>
      </x:c>
    </x:row>
    <x:row r="13" ht="90" customHeight="1">
      <x:c r="A13" s="17" t="str">
        <x:v>controller</x:v>
      </x:c>
      <x:c r="B13" s="17" t="str">
        <x:v>Angelruten-Controller</x:v>
      </x:c>
      <x:c r="C13" s="17" t="str">
        <x:v>Die Angel als Eingabegerät.</x:v>
      </x:c>
      <x:c r="D13" s="32" t="str">
        <x:v>Nein</x:v>
      </x:c>
      <x:c r="E13" s="17" t="str">
        <x:v>Preis nach Klärung</x:v>
      </x:c>
      <x:c r="F13" s="17" t="str">
        <x:v>Machbarkeit und ein funktionsfähiger Eingabe-Prototyp für PC. Keine Serienfertigung, Zertifizierung, Gewährleistung für verkaufte Hardware oder freie Geräteauswahl.</x:v>
      </x:c>
    </x:row>
    <x:row r="14" ht="90" customHeight="1">
      <x:c r="A14" s="18" t="str">
        <x:v>splat</x:v>
      </x:c>
      <x:c r="B14" s="18" t="str">
        <x:v>3D Gaussian Splatting</x:v>
      </x:c>
      <x:c r="C14" s="18" t="str">
        <x:v>Einen echten Ort digital erkunden.</x:v>
      </x:c>
      <x:c r="D14" s="32" t="str">
        <x:v>Nein</x:v>
      </x:c>
      <x:c r="E14" s="18" t="str">
        <x:v>Preis nach Klärung</x:v>
      </x:c>
      <x:c r="F14" s="18" t="str">
        <x:v>Machbarkeitsstudie und ein abgegrenzter Scan-Prototyp für Desktop. Aufnahmezugang erforderlich; mobile Performance, Interaktion und Produktionsintegration offen.</x:v>
      </x:c>
    </x:row>
    <x:row r="15" ht="90" customHeight="1">
      <x:c r="A15" s="17" t="str">
        <x:v>vr</x:v>
      </x:c>
      <x:c r="B15" s="17" t="str">
        <x:v>VR-Lernmodul</x:v>
      </x:c>
      <x:c r="C15" s="17" t="str">
        <x:v>Mitten im Gewässer stehen.</x:v>
      </x:c>
      <x:c r="D15" s="32" t="str">
        <x:v>Nein</x:v>
      </x:c>
      <x:c r="E15" s="17" t="str">
        <x:v>Preis nach Klärung</x:v>
      </x:c>
      <x:c r="F15" s="17" t="str">
        <x:v>Ein vorhandenes Lernszenario für eine festgelegte Headset-Familie, Interaktion, Komfortdesign und Tests. Keine Vollportierung aller sechs Orte; Hardware separat.</x:v>
      </x:c>
    </x:row>
    <x:row r="16" ht="90" customHeight="1">
      <x:c r="A16" s="18" t="str">
        <x:v>museum</x:v>
      </x:c>
      <x:c r="B16" s="18" t="str">
        <x:v>Kooperation: Angelmuseum</x:v>
      </x:c>
      <x:c r="C16" s="18" t="str">
        <x:v>Eine Brücke zur Ausstellung in Wittenbeck.</x:v>
      </x:c>
      <x:c r="D16" s="32" t="str">
        <x:v>Nein</x:v>
      </x:c>
      <x:c r="E16" s="18" t="str">
        <x:v>Preis nach Klärung</x:v>
      </x:c>
      <x:c r="F16" s="18" t="str">
        <x:v>Kontaktphase, gemeinsamer Workshop und Konzept für eine kleine digitale Erweiterung. Umsetzung, Lizenzen und Zustimmung des Museums noch nicht zugesagt.</x:v>
      </x:c>
    </x:row>
    <x:row r="17" ht="90" customHeight="1">
      <x:c r="A17" s="17" t="str">
        <x:v>ozeaneum</x:v>
      </x:c>
      <x:c r="B17" s="17" t="str">
        <x:v>Kooperation: OZEANEUM</x:v>
      </x:c>
      <x:c r="C17" s="17" t="str">
        <x:v>Wissen aus der Ausstellung verbinden.</x:v>
      </x:c>
      <x:c r="D17" s="32" t="str">
        <x:v>Nein</x:v>
      </x:c>
      <x:c r="E17" s="17" t="str">
        <x:v>Preis nach Klärung</x:v>
      </x:c>
      <x:c r="F17" s="17" t="str">
        <x:v>Kontaktphase, Workshop und Konzept für eine inhaltliche Kooperation. Partnerzusage, Rechte und ein möglicher Ausstellungsbau sind nicht enthalten.</x:v>
      </x:c>
    </x:row>
  </x:sheetData>
  <x:dataValidations count="1">
    <x:dataValidation type="list" sqref="D7:D17">
      <x:formula1>"Nein,Ja"</x:formula1>
    </x:dataValidation>
  </x:dataValidations>
  <x:pageMargins left="0.7" right="0.7" top="0.75" bottom="0.75" header="0.3" footer="0.3"/>
  <x:tableParts count="1">
    <x:tablePart xmlns:r="http://schemas.openxmlformats.org/officeDocument/2006/relationships" r:id="Rc522dfb358004772"/>
  </x:tableParts>
</x:worksheet>
</file>

<file path=xl/worksheets/sheet4.xml><?xml version="1.0" encoding="utf-8"?>
<x:worksheet xmlns:x="http://schemas.openxmlformats.org/spreadsheetml/2006/main">
  <x:sheetPr>
    <x:tabColor rgb="FF829466"/>
  </x:sheetPr>
  <x:sheetViews>
    <x:sheetView showGridLines="0" workbookViewId="0">
      <x:pane ySplit="6" topLeftCell="A7" activePane="bottomLeft" state="frozen"/>
    </x:sheetView>
  </x:sheetViews>
  <x:sheetFormatPr defaultRowHeight="15"/>
  <x:cols>
    <x:col min="1" max="1" width="8" hidden="0" customWidth="1"/>
    <x:col min="2" max="2" width="48" hidden="0" customWidth="1"/>
    <x:col min="3" max="3" width="100" hidden="0" customWidth="1"/>
  </x:cols>
  <x:sheetData>
    <x:row r="1" ht="23" customHeight="1">
      <x:c r="A1" s="2"/>
      <x:c r="B1" s="2"/>
      <x:c r="C1" s="2"/>
    </x:row>
    <x:row r="2" ht="30" customHeight="1">
      <x:c r="A2" s="3" t="str">
        <x:v>Eigene Ideen &amp; Anmerkungen</x:v>
      </x:c>
      <x:c r="B2" s="3"/>
      <x:c r="C2" s="3"/>
    </x:row>
    <x:row r="3" ht="23" customHeight="1">
      <x:c r="A3" s="4"/>
      <x:c r="B3" s="4"/>
      <x:c r="C3" s="4"/>
    </x:row>
    <x:row r="4" ht="23" customHeight="1">
      <x:c r="A4" s="2" t="str">
        <x:v>Eigene Ideen und offene Fragen zur gemeinsamen Klärung. Ohne Preisansatz oder Terminplanung.</x:v>
      </x:c>
      <x:c r="B4" s="2"/>
      <x:c r="C4" s="2"/>
    </x:row>
    <x:row r="5" ht="23" customHeight="1">
      <x:c r="A5" s="2" t="str">
        <x:v>Ihre Einträge bleiben beim Paketwechsel erhalten.</x:v>
      </x:c>
      <x:c r="B5" s="2"/>
      <x:c r="C5" s="2"/>
    </x:row>
    <x:row r="6" ht="30" customHeight="1">
      <x:c r="A6" s="8" t="str">
        <x:v>Nr.</x:v>
      </x:c>
      <x:c r="B6" s="8" t="str">
        <x:v>Eigene Idee</x:v>
      </x:c>
      <x:c r="C6" s="8" t="str">
        <x:v>Anmerkung / offene Frage</x:v>
      </x:c>
    </x:row>
    <x:row r="7" ht="70" customHeight="1">
      <x:c r="A7" s="34" t="n">
        <x:v>1</x:v>
      </x:c>
      <x:c r="B7" s="36"/>
      <x:c r="C7" s="35"/>
    </x:row>
    <x:row r="8" ht="70" customHeight="1">
      <x:c r="A8" s="34" t="n">
        <x:v>2</x:v>
      </x:c>
      <x:c r="B8" s="36"/>
      <x:c r="C8" s="35"/>
    </x:row>
    <x:row r="9" ht="70" customHeight="1">
      <x:c r="A9" s="34" t="n">
        <x:v>3</x:v>
      </x:c>
      <x:c r="B9" s="36"/>
      <x:c r="C9" s="35"/>
    </x:row>
    <x:row r="10" ht="70" customHeight="1">
      <x:c r="A10" s="34" t="n">
        <x:v>4</x:v>
      </x:c>
      <x:c r="B10" s="36"/>
      <x:c r="C10" s="35"/>
    </x:row>
    <x:row r="11" ht="70" customHeight="1">
      <x:c r="A11" s="34" t="n">
        <x:v>5</x:v>
      </x:c>
      <x:c r="B11" s="36"/>
      <x:c r="C11" s="35"/>
    </x:row>
    <x:row r="12" ht="70" customHeight="1">
      <x:c r="A12" s="34" t="n">
        <x:v>6</x:v>
      </x:c>
      <x:c r="B12" s="36"/>
      <x:c r="C12" s="35"/>
    </x:row>
    <x:row r="13" ht="70" customHeight="1">
      <x:c r="A13" s="34" t="n">
        <x:v>7</x:v>
      </x:c>
      <x:c r="B13" s="36"/>
      <x:c r="C13" s="35"/>
    </x:row>
    <x:row r="14" ht="70" customHeight="1">
      <x:c r="A14" s="34" t="n">
        <x:v>8</x:v>
      </x:c>
      <x:c r="B14" s="36"/>
      <x:c r="C14" s="35"/>
    </x:row>
    <x:row r="15" ht="70" customHeight="1">
      <x:c r="A15" s="34" t="n">
        <x:v>9</x:v>
      </x:c>
      <x:c r="B15" s="36"/>
      <x:c r="C15" s="35"/>
    </x:row>
    <x:row r="16" ht="70" customHeight="1">
      <x:c r="A16" s="34" t="n">
        <x:v>10</x:v>
      </x:c>
      <x:c r="B16" s="36"/>
      <x:c r="C16" s="35"/>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xSplit="2" ySplit="6" topLeftCell="C7" activePane="bottomRight" state="frozen"/>
    </x:sheetView>
  </x:sheetViews>
  <x:sheetFormatPr defaultRowHeight="15"/>
  <x:cols>
    <x:col min="1" max="1" width="16" hidden="0" customWidth="1"/>
    <x:col min="2" max="2" width="30" hidden="0" customWidth="1"/>
    <x:col min="3" max="3" width="20" hidden="0" customWidth="1"/>
    <x:col min="4" max="4" width="17" hidden="0" customWidth="1"/>
    <x:col min="5" max="5" width="43" hidden="0" customWidth="1"/>
    <x:col min="6" max="6" width="100" hidden="0" customWidth="1"/>
    <x:col min="7" max="7" width="19" hidden="0" customWidth="1"/>
    <x:col min="8" max="8" width="15" hidden="0" customWidth="1"/>
    <x:col min="9" max="9" width="25" hidden="0" customWidth="1"/>
    <x:col min="10" max="10" width="12" hidden="0" customWidth="1"/>
    <x:col min="11" max="11" width="3" hidden="0" customWidth="1"/>
    <x:col min="12" max="12" width="20" hidden="0" customWidth="1"/>
    <x:col min="13" max="13" width="20" hidden="0" customWidth="1"/>
    <x:col min="14" max="14" width="20" hidden="0" customWidth="1"/>
    <x:col min="15" max="15" width="20" hidden="0" customWidth="1"/>
    <x:col min="16" max="16" width="3" hidden="0" customWidth="1"/>
    <x:col min="17" max="17" width="3" hidden="0" customWidth="1"/>
    <x:col min="18" max="18" width="25" hidden="0" customWidth="1"/>
    <x:col min="19" max="19" width="17" hidden="0" customWidth="1"/>
    <x:col min="20" max="20" width="24" hidden="0" customWidth="1"/>
  </x:cols>
  <x:sheetData>
    <x:row r="1" ht="23" customHeight="1">
      <x:c r="A1" s="2"/>
      <x:c r="B1" s="2"/>
      <x:c r="C1" s="2"/>
      <x:c r="D1" s="2"/>
      <x:c r="E1" s="2"/>
      <x:c r="F1" s="2"/>
      <x:c r="G1" s="2"/>
      <x:c r="H1" s="2"/>
      <x:c r="I1" s="2"/>
      <x:c r="J1" s="2"/>
      <x:c r="K1" s="2"/>
      <x:c r="L1" s="2"/>
      <x:c r="M1" s="2"/>
      <x:c r="N1" s="2"/>
      <x:c r="O1" s="2"/>
      <x:c r="P1" s="2"/>
      <x:c r="Q1" s="2"/>
      <x:c r="R1" s="2"/>
      <x:c r="S1" s="2"/>
      <x:c r="T1" s="2"/>
    </x:row>
    <x:row r="2" ht="30" customHeight="1">
      <x:c r="A2" s="3" t="str">
        <x:v>Leistungskatalog</x:v>
      </x:c>
      <x:c r="B2" s="3"/>
      <x:c r="C2" s="3"/>
      <x:c r="D2" s="3"/>
      <x:c r="E2" s="3"/>
      <x:c r="F2" s="3"/>
      <x:c r="G2" s="3"/>
      <x:c r="H2" s="3"/>
      <x:c r="I2" s="3"/>
      <x:c r="J2" s="3"/>
      <x:c r="K2" s="3"/>
      <x:c r="L2" s="3"/>
      <x:c r="M2" s="3"/>
      <x:c r="N2" s="3"/>
      <x:c r="O2" s="3"/>
      <x:c r="P2" s="3"/>
      <x:c r="Q2" s="3"/>
      <x:c r="R2" s="2"/>
      <x:c r="S2" s="2"/>
      <x:c r="T2" s="2"/>
    </x:row>
    <x:row r="3" ht="23" customHeight="1">
      <x:c r="A3" s="4"/>
      <x:c r="B3" s="4"/>
      <x:c r="C3" s="4"/>
      <x:c r="D3" s="4"/>
      <x:c r="E3" s="4"/>
      <x:c r="F3" s="4"/>
      <x:c r="G3" s="4"/>
      <x:c r="H3" s="4"/>
      <x:c r="I3" s="4"/>
      <x:c r="J3" s="4"/>
      <x:c r="K3" s="4"/>
      <x:c r="L3" s="4"/>
      <x:c r="M3" s="4"/>
      <x:c r="N3" s="4"/>
      <x:c r="O3" s="4"/>
      <x:c r="P3" s="4"/>
      <x:c r="Q3" s="4"/>
      <x:c r="R3" s="2"/>
      <x:c r="S3" s="2"/>
      <x:c r="T3" s="2"/>
    </x:row>
    <x:row r="4" ht="23" customHeight="1">
      <x:c r="A4" s="2" t="str">
        <x:v>Planungsstand 08.10.2026. Grobe Kostenrichtwerte und vorläufige Leistungsumfänge.</x:v>
      </x:c>
      <x:c r="B4" s="2"/>
      <x:c r="C4" s="2"/>
      <x:c r="D4" s="2"/>
      <x:c r="E4" s="2"/>
      <x:c r="F4" s="2"/>
      <x:c r="G4" s="2"/>
      <x:c r="H4" s="2"/>
      <x:c r="I4" s="2"/>
      <x:c r="J4" s="2"/>
      <x:c r="K4" s="2"/>
      <x:c r="L4" s="2"/>
      <x:c r="M4" s="2"/>
      <x:c r="N4" s="2"/>
      <x:c r="O4" s="2"/>
      <x:c r="P4" s="2"/>
      <x:c r="Q4" s="2"/>
      <x:c r="R4" s="2"/>
      <x:c r="S4" s="2"/>
      <x:c r="T4" s="2"/>
    </x:row>
    <x:row r="5" ht="23" customHeight="1">
      <x:c r="A5" s="2" t="str">
        <x:v>Brutto inkl. angenommener 19 % USt. Lieferumfang und Grenzen je Modul stehen vollständig in Spalte F.</x:v>
      </x:c>
      <x:c r="B5" s="2"/>
      <x:c r="C5" s="2"/>
      <x:c r="D5" s="2"/>
      <x:c r="E5" s="2"/>
      <x:c r="F5" s="2"/>
      <x:c r="G5" s="2"/>
      <x:c r="H5" s="2"/>
      <x:c r="I5" s="2"/>
      <x:c r="J5" s="2"/>
      <x:c r="K5" s="2"/>
      <x:c r="L5" s="2"/>
      <x:c r="M5" s="2"/>
      <x:c r="N5" s="2"/>
      <x:c r="O5" s="2"/>
      <x:c r="P5" s="2"/>
      <x:c r="Q5" s="2"/>
      <x:c r="R5" s="2"/>
      <x:c r="S5" s="2"/>
      <x:c r="T5" s="2"/>
    </x:row>
    <x:row r="6" ht="30" customHeight="1">
      <x:c r="A6" s="8" t="str">
        <x:v>ID</x:v>
      </x:c>
      <x:c r="B6" s="8" t="str">
        <x:v>Modul</x:v>
      </x:c>
      <x:c r="C6" s="8" t="str">
        <x:v>Kategorie</x:v>
      </x:c>
      <x:c r="D6" s="8" t="str">
        <x:v>Regulärer Richtwert brutto</x:v>
      </x:c>
      <x:c r="E6" s="8" t="str">
        <x:v>Kurzbeschreibung</x:v>
      </x:c>
      <x:c r="F6" s="8" t="str">
        <x:v>Vorläufiger Leistungsumfang</x:v>
      </x:c>
      <x:c r="G6" s="8" t="str">
        <x:v>Orientierungsmonat</x:v>
      </x:c>
      <x:c r="H6" s="8" t="str">
        <x:v>Unsicherheit</x:v>
      </x:c>
      <x:c r="I6" s="8" t="str">
        <x:v>Voraussetzungen</x:v>
      </x:c>
      <x:c r="J6" s="8" t="str">
        <x:v>Laufend</x:v>
      </x:c>
      <x:c r="K6" s="2" t="str"/>
      <x:c r="L6" s="8" t="str">
        <x:v>Fundament</x:v>
      </x:c>
      <x:c r="M6" s="8" t="str">
        <x:v>Good to have · Auswahl</x:v>
      </x:c>
      <x:c r="N6" s="8" t="str">
        <x:v>Good to have · Komplett</x:v>
      </x:c>
      <x:c r="O6" s="8" t="str">
        <x:v>Nice to have · Auswahl</x:v>
      </x:c>
      <x:c r="P6" s="2" t="str"/>
      <x:c r="Q6" s="2" t="str"/>
      <x:c r="R6" s="8" t="str">
        <x:v>Preismodell</x:v>
      </x:c>
      <x:c r="S6" s="8" t="str">
        <x:v>Budgetkapazität PT</x:v>
      </x:c>
      <x:c r="T6" s="8" t="str">
        <x:v>Basiswert brutto</x:v>
      </x:c>
    </x:row>
    <x:row r="7" ht="90" customHeight="1">
      <x:c r="A7" s="13" t="str">
        <x:v>core</x:v>
      </x:c>
      <x:c r="B7" s="13" t="str">
        <x:v>Spielbarer Lernkern</x:v>
      </x:c>
      <x:c r="C7" s="13" t="str">
        <x:v>Fundament</x:v>
      </x:c>
      <x:c r="D7" s="14" t="n">
        <x:v>37500</x:v>
      </x:c>
      <x:c r="E7" s="17" t="str">
        <x:v>Angeln lernen und Prüfungswissen anwenden.</x:v>
      </x:c>
      <x:c r="F7" s="17" t="str">
        <x:v>Unity-Lernschleife mit Angeln, Aufgaben und persönlichem Fortschritt für dozentengeleitete Ganztagskurse und selbstständiges Lernen. Dazu ein ca. 15-minütiger Browser-Demoausschnitt als niedrigschwelliger Einstieg mit kleinem Startpaket und kurzer angestrebter Ladezeit. Verweis von der Demo auf die Hauptapp und das Ganztagsangebot; vorhandene Demo nach technischer Prüfung weiterverwenden.</x:v>
      </x:c>
      <x:c r="G7" s="13" t="n">
        <x:v>6</x:v>
      </x:c>
      <x:c r="H7" s="13" t="str">
        <x:v>mittel</x:v>
      </x:c>
      <x:c r="I7" s="13" t="str">
        <x:v>Keine</x:v>
      </x:c>
      <x:c r="J7" s="13" t="str">
        <x:v>Nein</x:v>
      </x:c>
      <x:c r="K7" s="2" t="str"/>
      <x:c r="L7" s="2" t="n">
        <x:v>1</x:v>
      </x:c>
      <x:c r="M7" s="2" t="n">
        <x:v>1</x:v>
      </x:c>
      <x:c r="N7" s="2" t="n">
        <x:v>1</x:v>
      </x:c>
      <x:c r="O7" s="2" t="n">
        <x:v>1</x:v>
      </x:c>
      <x:c r="P7" s="2" t="str"/>
      <x:c r="Q7" s="2" t="str"/>
      <x:c r="R7" s="2" t="str">
        <x:v>Arbeitsleistung</x:v>
      </x:c>
      <x:c r="S7" s="10" t="n">
        <x:v>39.0625</x:v>
      </x:c>
      <x:c r="T7" s="11" t="n">
        <x:v>30000</x:v>
      </x:c>
    </x:row>
    <x:row r="8" ht="90" customHeight="1">
      <x:c r="A8" s="15" t="str">
        <x:v>worlds</x:v>
      </x:c>
      <x:c r="B8" s="15" t="str">
        <x:v>6 regionale Lernorte</x:v>
      </x:c>
      <x:c r="C8" s="15" t="str">
        <x:v>Fundament</x:v>
      </x:c>
      <x:c r="D8" s="16" t="n">
        <x:v>47500</x:v>
      </x:c>
      <x:c r="E8" s="18" t="str">
        <x:v>Vom Fluss bis zur Ostsee.</x:v>
      </x:c>
      <x:c r="F8" s="18" t="str">
        <x:v>Sechs kompakte, stilisierte Orte: Warnow, Peene, Ostsee, Müritz, Nordsee und Greifswalder Bodden. Je 3–4 Angelspots; gemeinsame Technik und wiederverwendbare Assets. Keine sechs fotorealistischen Open Worlds.</x:v>
      </x:c>
      <x:c r="G8" s="15" t="n">
        <x:v>12</x:v>
      </x:c>
      <x:c r="H8" s="15" t="str">
        <x:v>mittel</x:v>
      </x:c>
      <x:c r="I8" s="15" t="str">
        <x:v>Keine</x:v>
      </x:c>
      <x:c r="J8" s="15" t="str">
        <x:v>Nein</x:v>
      </x:c>
      <x:c r="K8" s="2" t="str"/>
      <x:c r="L8" s="2" t="n">
        <x:v>1</x:v>
      </x:c>
      <x:c r="M8" s="2" t="n">
        <x:v>1</x:v>
      </x:c>
      <x:c r="N8" s="2" t="n">
        <x:v>1</x:v>
      </x:c>
      <x:c r="O8" s="2" t="n">
        <x:v>1</x:v>
      </x:c>
      <x:c r="P8" s="2" t="str"/>
      <x:c r="Q8" s="2" t="str"/>
      <x:c r="R8" s="2" t="str">
        <x:v>Arbeitsleistung</x:v>
      </x:c>
      <x:c r="S8" s="10" t="n">
        <x:v>49.479166666666664</x:v>
      </x:c>
      <x:c r="T8" s="11" t="n">
        <x:v>38000</x:v>
      </x:c>
    </x:row>
    <x:row r="9" ht="90" customHeight="1">
      <x:c r="A9" s="13" t="str">
        <x:v>fish</x:v>
      </x:c>
      <x:c r="B9" s="13" t="str">
        <x:v>Fische &amp; Fischlexikon</x:v>
      </x:c>
      <x:c r="C9" s="13" t="str">
        <x:v>Fundament</x:v>
      </x:c>
      <x:c r="D9" s="14" t="n">
        <x:v>17500</x:v>
      </x:c>
      <x:c r="E9" s="17" t="str">
        <x:v>Arten kennenlernen und wiedererkennen.</x:v>
      </x:c>
      <x:c r="F9" s="17" t="str">
        <x:v>5–10 vorkommende Fischarten je Lernort, aus einer gemeinsamen Bibliothek von zunächst bis zu 20 Arten. Basismodelle, Grundverhalten und Lexikoneinträge; Arten dürfen sich zwischen Orten wiederholen.</x:v>
      </x:c>
      <x:c r="G9" s="13" t="n">
        <x:v>12</x:v>
      </x:c>
      <x:c r="H9" s="13" t="str">
        <x:v>mittel</x:v>
      </x:c>
      <x:c r="I9" s="13" t="str">
        <x:v>Keine</x:v>
      </x:c>
      <x:c r="J9" s="13" t="str">
        <x:v>Nein</x:v>
      </x:c>
      <x:c r="K9" s="2" t="str"/>
      <x:c r="L9" s="2" t="n">
        <x:v>1</x:v>
      </x:c>
      <x:c r="M9" s="2" t="n">
        <x:v>1</x:v>
      </x:c>
      <x:c r="N9" s="2" t="n">
        <x:v>1</x:v>
      </x:c>
      <x:c r="O9" s="2" t="n">
        <x:v>1</x:v>
      </x:c>
      <x:c r="P9" s="2" t="str"/>
      <x:c r="Q9" s="2" t="str"/>
      <x:c r="R9" s="2" t="str">
        <x:v>Arbeitsleistung</x:v>
      </x:c>
      <x:c r="S9" s="10" t="n">
        <x:v>18.229166666666668</x:v>
      </x:c>
      <x:c r="T9" s="11" t="n">
        <x:v>14000</x:v>
      </x:c>
    </x:row>
    <x:row r="10" ht="90" customHeight="1">
      <x:c r="A10" s="15" t="str">
        <x:v>book</x:v>
      </x:c>
      <x:c r="B10" s="15" t="str">
        <x:v>Angelbuch &amp; Prüfungsvorbereitung</x:v>
      </x:c>
      <x:c r="C10" s="15" t="str">
        <x:v>Fundament</x:v>
      </x:c>
      <x:c r="D10" s="16" t="n">
        <x:v>30000</x:v>
      </x:c>
      <x:c r="E10" s="18" t="str">
        <x:v>Lehrwissen nachschlagen und für die Fischereischeinprüfung üben.</x:v>
      </x:c>
      <x:c r="F10" s="18" t="str">
        <x:v>Digitales Angelbuch: Übernahme eines vom Fachteam gelieferten und freigegebenen Angelbuchs: bis zu 60 kompakte Lerneinheiten mit vorhandenen Bildern. Quellen, Textrechte und fachliche Endredaktion kommen vom LAV. Prüfungsvorbereitung: Übungsmodus mit bis zu 300 bereitgestellten, rechtlich nutzbaren Fragen, Feedback und Wiederholung. Keine amtliche Prüfung und keine Garantie für das Bestehen.</x:v>
      </x:c>
      <x:c r="G10" s="15" t="n">
        <x:v>12</x:v>
      </x:c>
      <x:c r="H10" s="15" t="str">
        <x:v>mittel</x:v>
      </x:c>
      <x:c r="I10" s="15" t="str">
        <x:v>Keine</x:v>
      </x:c>
      <x:c r="J10" s="15" t="str">
        <x:v>Nein</x:v>
      </x:c>
      <x:c r="K10" s="2" t="str"/>
      <x:c r="L10" s="2" t="n">
        <x:v>1</x:v>
      </x:c>
      <x:c r="M10" s="2" t="n">
        <x:v>1</x:v>
      </x:c>
      <x:c r="N10" s="2" t="n">
        <x:v>1</x:v>
      </x:c>
      <x:c r="O10" s="2" t="n">
        <x:v>1</x:v>
      </x:c>
      <x:c r="P10" s="2" t="str"/>
      <x:c r="Q10" s="2" t="str"/>
      <x:c r="R10" s="2" t="str">
        <x:v>Arbeitsleistung</x:v>
      </x:c>
      <x:c r="S10" s="10" t="n">
        <x:v>31.25</x:v>
      </x:c>
      <x:c r="T10" s="11" t="n">
        <x:v>24000</x:v>
      </x:c>
    </x:row>
    <x:row r="11" ht="118" customHeight="1">
      <x:c r="A11" s="13" t="str">
        <x:v>accounts</x:v>
      </x:c>
      <x:c r="B11" s="13" t="str">
        <x:v>Nutzerkonten &amp; Lernfortschritt</x:v>
      </x:c>
      <x:c r="C11" s="13" t="str">
        <x:v>Fundament</x:v>
      </x:c>
      <x:c r="D11" s="14" t="n">
        <x:v>25000</x:v>
      </x:c>
      <x:c r="E11" s="17" t="str">
        <x:v>Persönlich anmelden, den Lernstand speichern und später fortsetzen.</x:v>
      </x:c>
      <x:c r="F11" s="17" t="str">
        <x:v>Nutzerkonten: Pseudonyme persönliche Lernkonten für Schülerinnen und Schüler sowie Rollen für Dozierende; Anmeldung, Passwort-Rücksetzung und Kontolöschung. Das Konto ordnet den gespeicherten Spiel- und Lernfortschritt zu, damit nach erneuter Anmeldung am eigenen Stand weitergelernt werden kann. Einwilligungs- und Kursabläufe gemeinsam festlegen. Datenbank &amp; Lernstände: Datenmodell, API sowie serverseitiges Speichern und Laden persönlicher Spiel- und Lernstände. Nach Anmeldung auf einem unterstützten Gerät beim eigenen Fortschritt fortsetzen; Backups und Wiederherstellung. Pilotansatz bis 500 registrierte Konten und 50 gleichzeitige Sitzungen. Höhere Last und vollständige Offline-Synchronisierung gesondert planen.</x:v>
      </x:c>
      <x:c r="G11" s="13" t="n">
        <x:v>6</x:v>
      </x:c>
      <x:c r="H11" s="13" t="str">
        <x:v>mittel</x:v>
      </x:c>
      <x:c r="I11" s="13" t="str">
        <x:v>Keine</x:v>
      </x:c>
      <x:c r="J11" s="13" t="str">
        <x:v>Nein</x:v>
      </x:c>
      <x:c r="K11" s="2" t="str"/>
      <x:c r="L11" s="2" t="n">
        <x:v>1</x:v>
      </x:c>
      <x:c r="M11" s="2" t="n">
        <x:v>1</x:v>
      </x:c>
      <x:c r="N11" s="2" t="n">
        <x:v>1</x:v>
      </x:c>
      <x:c r="O11" s="2" t="n">
        <x:v>1</x:v>
      </x:c>
      <x:c r="P11" s="2" t="str"/>
      <x:c r="Q11" s="2" t="str"/>
      <x:c r="R11" s="2" t="str">
        <x:v>Arbeitsleistung</x:v>
      </x:c>
      <x:c r="S11" s="10" t="n">
        <x:v>26.041666666666668</x:v>
      </x:c>
      <x:c r="T11" s="11" t="n">
        <x:v>20000</x:v>
      </x:c>
    </x:row>
    <x:row r="12" ht="90" customHeight="1">
      <x:c r="A12" s="15" t="str">
        <x:v>dashboard</x:v>
      </x:c>
      <x:c r="B12" s="15" t="str">
        <x:v>Betreuungs-Dashboard</x:v>
      </x:c>
      <x:c r="C12" s="15" t="str">
        <x:v>Fundament</x:v>
      </x:c>
      <x:c r="D12" s="16" t="n">
        <x:v>12500</x:v>
      </x:c>
      <x:c r="E12" s="18" t="str">
        <x:v>Ganztagskurse und Lerngruppen begleiten.</x:v>
      </x:c>
      <x:c r="F12" s="18" t="str">
        <x:v>Einfache Kurs-/Gruppenverwaltung und Übersicht der Lernstände für berechtigte Dozentinnen und Dozenten des Ganztagsangebots; administrative Pflege. Unterstützt die Begleitung der Lernenden, kein vollständiges Schulverwaltungssystem.</x:v>
      </x:c>
      <x:c r="G12" s="15" t="n">
        <x:v>9</x:v>
      </x:c>
      <x:c r="H12" s="15" t="str">
        <x:v>mittel</x:v>
      </x:c>
      <x:c r="I12" s="15" t="str">
        <x:v>Keine</x:v>
      </x:c>
      <x:c r="J12" s="15" t="str">
        <x:v>Nein</x:v>
      </x:c>
      <x:c r="K12" s="2" t="str"/>
      <x:c r="L12" s="2" t="n">
        <x:v>1</x:v>
      </x:c>
      <x:c r="M12" s="2" t="n">
        <x:v>1</x:v>
      </x:c>
      <x:c r="N12" s="2" t="n">
        <x:v>1</x:v>
      </x:c>
      <x:c r="O12" s="2" t="n">
        <x:v>1</x:v>
      </x:c>
      <x:c r="P12" s="2" t="str"/>
      <x:c r="Q12" s="2" t="str"/>
      <x:c r="R12" s="2" t="str">
        <x:v>Arbeitsleistung</x:v>
      </x:c>
      <x:c r="S12" s="10" t="n">
        <x:v>13.020833333333334</x:v>
      </x:c>
      <x:c r="T12" s="11" t="n">
        <x:v>10000</x:v>
      </x:c>
    </x:row>
    <x:row r="13" ht="90" customHeight="1">
      <x:c r="A13" s="13" t="str">
        <x:v>privacy</x:v>
      </x:c>
      <x:c r="B13" s="13" t="str">
        <x:v>Datenschutz &amp; Schutzkonzept</x:v>
      </x:c>
      <x:c r="C13" s="13" t="str">
        <x:v>Fundament</x:v>
      </x:c>
      <x:c r="D13" s="14" t="n">
        <x:v>12500</x:v>
      </x:c>
      <x:c r="E13" s="17" t="str">
        <x:v>Datensparsam von Anfang an.</x:v>
      </x:c>
      <x:c r="F13" s="17" t="str">
        <x:v>Technische Datenschutzmaßnahmen in App und Backend, Rollen/Rechte, Lösch- und Aufbewahrungskonzept sowie Dokumentationsbeiträge. Einschließlich altersgerechter UX. Juristische Prüfung und Verantwortlichkeiten sind mit dem Träger abzustimmen; keine pauschale Compliance-Garantie.</x:v>
      </x:c>
      <x:c r="G13" s="13" t="n">
        <x:v>6</x:v>
      </x:c>
      <x:c r="H13" s="13" t="str">
        <x:v>mittel</x:v>
      </x:c>
      <x:c r="I13" s="13" t="str">
        <x:v>Keine</x:v>
      </x:c>
      <x:c r="J13" s="13" t="str">
        <x:v>Nein</x:v>
      </x:c>
      <x:c r="K13" s="2" t="str"/>
      <x:c r="L13" s="2" t="n">
        <x:v>1</x:v>
      </x:c>
      <x:c r="M13" s="2" t="n">
        <x:v>1</x:v>
      </x:c>
      <x:c r="N13" s="2" t="n">
        <x:v>1</x:v>
      </x:c>
      <x:c r="O13" s="2" t="n">
        <x:v>1</x:v>
      </x:c>
      <x:c r="P13" s="2" t="str"/>
      <x:c r="Q13" s="2" t="str"/>
      <x:c r="R13" s="2" t="str">
        <x:v>Arbeitsleistung</x:v>
      </x:c>
      <x:c r="S13" s="10" t="n">
        <x:v>13.020833333333334</x:v>
      </x:c>
      <x:c r="T13" s="11" t="n">
        <x:v>10000</x:v>
      </x:c>
    </x:row>
    <x:row r="14" ht="90" customHeight="1">
      <x:c r="A14" s="15" t="str">
        <x:v>devices</x:v>
      </x:c>
      <x:c r="B14" s="15" t="str">
        <x:v>Laptop &amp; Tablet</x:v>
      </x:c>
      <x:c r="C14" s="15" t="str">
        <x:v>Fundament</x:v>
      </x:c>
      <x:c r="D14" s="16" t="n">
        <x:v>12500</x:v>
      </x:c>
      <x:c r="E14" s="18" t="str">
        <x:v>Eine gemeinsame Web-Basis.</x:v>
      </x:c>
      <x:c r="F14" s="18" t="str">
        <x:v>Responsive Bedienung für Desktop-Browser und eine vereinbarte Tablet-Matrix; Touch-Steuerung und Leistungsprofil. Zielgeräte werden früh erprobt. Kein nativer App-Store-Release enthalten.</x:v>
      </x:c>
      <x:c r="G14" s="15" t="n">
        <x:v>9</x:v>
      </x:c>
      <x:c r="H14" s="15" t="str">
        <x:v>mittel</x:v>
      </x:c>
      <x:c r="I14" s="15" t="str">
        <x:v>Keine</x:v>
      </x:c>
      <x:c r="J14" s="15" t="str">
        <x:v>Nein</x:v>
      </x:c>
      <x:c r="K14" s="2" t="str"/>
      <x:c r="L14" s="2" t="n">
        <x:v>1</x:v>
      </x:c>
      <x:c r="M14" s="2" t="n">
        <x:v>1</x:v>
      </x:c>
      <x:c r="N14" s="2" t="n">
        <x:v>1</x:v>
      </x:c>
      <x:c r="O14" s="2" t="n">
        <x:v>1</x:v>
      </x:c>
      <x:c r="P14" s="2" t="str"/>
      <x:c r="Q14" s="2" t="str"/>
      <x:c r="R14" s="2" t="str">
        <x:v>Arbeitsleistung</x:v>
      </x:c>
      <x:c r="S14" s="10" t="n">
        <x:v>13.020833333333334</x:v>
      </x:c>
      <x:c r="T14" s="11" t="n">
        <x:v>10000</x:v>
      </x:c>
    </x:row>
    <x:row r="15" ht="90" customHeight="1">
      <x:c r="A15" s="13" t="str">
        <x:v>qa</x:v>
      </x:c>
      <x:c r="B15" s="13" t="str">
        <x:v>Tests &amp; Qualitätssicherung</x:v>
      </x:c>
      <x:c r="C15" s="13" t="str">
        <x:v>Fundament</x:v>
      </x:c>
      <x:c r="D15" s="14" t="n">
        <x:v>20000</x:v>
      </x:c>
      <x:c r="E15" s="17" t="str">
        <x:v>Prüfen, verbessern, erneut testen.</x:v>
      </x:c>
      <x:c r="F15" s="17" t="str">
        <x:v>Zwei moderierte Pilotrunden im Ganztagsangebot plus Fehlerkorrektur, Fachprüfung mit AmS sowie Tests von Touch-Bedienung, Ladezeiten und Performance auf vereinbarten Handys und Tablets; ergänzende Backend-Lasttests. Abnahmekriterien statt einer unbelegbaren Angabe wie „80 % optimiert“.</x:v>
      </x:c>
      <x:c r="G15" s="13" t="n">
        <x:v>12</x:v>
      </x:c>
      <x:c r="H15" s="13" t="str">
        <x:v>mittel</x:v>
      </x:c>
      <x:c r="I15" s="13" t="str">
        <x:v>Keine</x:v>
      </x:c>
      <x:c r="J15" s="13" t="str">
        <x:v>Nein</x:v>
      </x:c>
      <x:c r="K15" s="2" t="str"/>
      <x:c r="L15" s="2" t="n">
        <x:v>1</x:v>
      </x:c>
      <x:c r="M15" s="2" t="n">
        <x:v>1</x:v>
      </x:c>
      <x:c r="N15" s="2" t="n">
        <x:v>1</x:v>
      </x:c>
      <x:c r="O15" s="2" t="n">
        <x:v>1</x:v>
      </x:c>
      <x:c r="P15" s="2" t="str"/>
      <x:c r="Q15" s="2" t="str"/>
      <x:c r="R15" s="2" t="str">
        <x:v>Arbeitsleistung</x:v>
      </x:c>
      <x:c r="S15" s="10" t="n">
        <x:v>20.833333333333332</x:v>
      </x:c>
      <x:c r="T15" s="11" t="n">
        <x:v>16000</x:v>
      </x:c>
    </x:row>
    <x:row r="16" ht="90" customHeight="1">
      <x:c r="A16" s="15" t="str">
        <x:v>collab</x:v>
      </x:c>
      <x:c r="B16" s="15" t="str">
        <x:v>Gemeinsame Projektsteuerung</x:v>
      </x:c>
      <x:c r="C16" s="15" t="str">
        <x:v>Fundament</x:v>
      </x:c>
      <x:c r="D16" s="16" t="n">
        <x:v>10000</x:v>
      </x:c>
      <x:c r="E16" s="18" t="str">
        <x:v>Regelmäßiger Austausch mit dem Fachteam.</x:v>
      </x:c>
      <x:c r="F16" s="18" t="str">
        <x:v>Kick-off und Koordination; bis zu 52 Jour-fixes à 30 Minuten, acht Meilenstein-Demos à 60 Minuten und vier Roadmap-Termine à 60 Minuten bis Monat 24. Rechnerische Budgetkapazität ca. 10,4 Personentage, inklusive Vorbereitung; Partneraufwände nicht enthalten.</x:v>
      </x:c>
      <x:c r="G16" s="15" t="n">
        <x:v>24</x:v>
      </x:c>
      <x:c r="H16" s="15" t="str">
        <x:v>mittel</x:v>
      </x:c>
      <x:c r="I16" s="15" t="str">
        <x:v>Keine</x:v>
      </x:c>
      <x:c r="J16" s="15" t="str">
        <x:v>Ja</x:v>
      </x:c>
      <x:c r="K16" s="2" t="str"/>
      <x:c r="L16" s="2" t="n">
        <x:v>1</x:v>
      </x:c>
      <x:c r="M16" s="2" t="n">
        <x:v>1</x:v>
      </x:c>
      <x:c r="N16" s="2" t="n">
        <x:v>1</x:v>
      </x:c>
      <x:c r="O16" s="2" t="n">
        <x:v>1</x:v>
      </x:c>
      <x:c r="P16" s="2" t="str"/>
      <x:c r="Q16" s="2" t="str"/>
      <x:c r="R16" s="2" t="str">
        <x:v>Arbeitsleistung</x:v>
      </x:c>
      <x:c r="S16" s="10" t="n">
        <x:v>10.416666666666666</x:v>
      </x:c>
      <x:c r="T16" s="11" t="n">
        <x:v>8000</x:v>
      </x:c>
    </x:row>
    <x:row r="17" ht="90" customHeight="1">
      <x:c r="A17" s="13" t="str">
        <x:v>care</x:v>
      </x:c>
      <x:c r="B17" s="13" t="str">
        <x:v>Pflege bis Monat 36</x:v>
      </x:c>
      <x:c r="C17" s="13" t="str">
        <x:v>Fundament</x:v>
      </x:c>
      <x:c r="D17" s="14" t="n">
        <x:v>25000</x:v>
      </x:c>
      <x:c r="E17" s="17" t="str">
        <x:v>Stabil halten und aktuell bleiben.</x:v>
      </x:c>
      <x:c r="F17" s="17" t="str">
        <x:v>Begrenzter Topf von ca. 26,0 Personentagen für Bugfixing, Serverbetreuung, Updates und kleinere Anpassungen an geänderte Vorgaben nach Erstveröffentlichung bis Monat 36. Keine unbegrenzte Wartung; verbrauchsabhängige Hostingkosten und externe Rechtsberatung separat.</x:v>
      </x:c>
      <x:c r="G17" s="13" t="n">
        <x:v>36</x:v>
      </x:c>
      <x:c r="H17" s="13" t="str">
        <x:v>mittel</x:v>
      </x:c>
      <x:c r="I17" s="13" t="str">
        <x:v>Keine</x:v>
      </x:c>
      <x:c r="J17" s="13" t="str">
        <x:v>Ja</x:v>
      </x:c>
      <x:c r="K17" s="2" t="str"/>
      <x:c r="L17" s="2" t="n">
        <x:v>1</x:v>
      </x:c>
      <x:c r="M17" s="2" t="n">
        <x:v>1</x:v>
      </x:c>
      <x:c r="N17" s="2" t="n">
        <x:v>1</x:v>
      </x:c>
      <x:c r="O17" s="2" t="n">
        <x:v>1</x:v>
      </x:c>
      <x:c r="P17" s="2" t="str"/>
      <x:c r="Q17" s="2" t="str"/>
      <x:c r="R17" s="2" t="str">
        <x:v>Arbeitsleistung</x:v>
      </x:c>
      <x:c r="S17" s="10" t="n">
        <x:v>26.041666666666668</x:v>
      </x:c>
      <x:c r="T17" s="11" t="n">
        <x:v>20000</x:v>
      </x:c>
    </x:row>
    <x:row r="18" ht="90" customHeight="1">
      <x:c r="A18" s="15" t="str">
        <x:v>depth</x:v>
      </x:c>
      <x:c r="B18" s="15" t="str">
        <x:v>Zusätzliche Lerninhalte &amp; Quests</x:v>
      </x:c>
      <x:c r="C18" s="15" t="str">
        <x:v>Good to have</x:v>
      </x:c>
      <x:c r="D18" s="16" t="n">
        <x:v>25000</x:v>
      </x:c>
      <x:c r="E18" s="18" t="str">
        <x:v>Mehr Lerntiefe mit zusätzlichen Aufgaben und abwechslungsreichen Quests.</x:v>
      </x:c>
      <x:c r="F18" s="18" t="str">
        <x:v>Mehr Lerntiefe: Bis zu 20 zusätzliche Lerneinheiten samt kurzen Aufgaben, auf Basis gelieferter Inhalte. Vertieft ökologische Zusammenhänge und die Anwendung des Angelwissens. Abwechslungsreiche Quests: Drei zusätzliche wiederverwendbare Aufgabentypen mit bis zu zwölf konkreten Aufgaben. Nutzt vorhandene Orte und Inhalte.</x:v>
      </x:c>
      <x:c r="G18" s="15" t="n">
        <x:v>15</x:v>
      </x:c>
      <x:c r="H18" s="15" t="str">
        <x:v>mittel</x:v>
      </x:c>
      <x:c r="I18" s="15" t="str">
        <x:v>Keine</x:v>
      </x:c>
      <x:c r="J18" s="15" t="str">
        <x:v>Nein</x:v>
      </x:c>
      <x:c r="K18" s="2" t="str"/>
      <x:c r="L18" s="2" t="n">
        <x:v>0</x:v>
      </x:c>
      <x:c r="M18" s="2" t="n">
        <x:v>1</x:v>
      </x:c>
      <x:c r="N18" s="2" t="n">
        <x:v>1</x:v>
      </x:c>
      <x:c r="O18" s="2" t="n">
        <x:v>1</x:v>
      </x:c>
      <x:c r="P18" s="2" t="str"/>
      <x:c r="Q18" s="2" t="str"/>
      <x:c r="R18" s="2" t="str">
        <x:v>Arbeitsleistung</x:v>
      </x:c>
      <x:c r="S18" s="10" t="n">
        <x:v>26.041666666666668</x:v>
      </x:c>
      <x:c r="T18" s="11" t="n">
        <x:v>20000</x:v>
      </x:c>
    </x:row>
    <x:row r="19" ht="90" customHeight="1">
      <x:c r="A19" s="13" t="str">
        <x:v>nature</x:v>
      </x:c>
      <x:c r="B19" s="13" t="str">
        <x:v>Insekten &amp; Vögel</x:v>
      </x:c>
      <x:c r="C19" s="13" t="str">
        <x:v>Good to have</x:v>
      </x:c>
      <x:c r="D19" s="14" t="n">
        <x:v>6000</x:v>
      </x:c>
      <x:c r="E19" s="17" t="str">
        <x:v>Das Lexikon wird zum Naturführer.</x:v>
      </x:c>
      <x:c r="F19" s="17" t="str">
        <x:v>Bis zu zwölf zusätzliche Arten mit wiederverwendeten/lizenzierten Assets, kurzen Steckbriefen und Entdeckungsmechanik. Keine individuelle Simulation jeder Art.</x:v>
      </x:c>
      <x:c r="G19" s="13" t="n">
        <x:v>15</x:v>
      </x:c>
      <x:c r="H19" s="13" t="str">
        <x:v>mittel</x:v>
      </x:c>
      <x:c r="I19" s="13" t="str">
        <x:v>Keine</x:v>
      </x:c>
      <x:c r="J19" s="13" t="str">
        <x:v>Nein</x:v>
      </x:c>
      <x:c r="K19" s="2" t="str"/>
      <x:c r="L19" s="2" t="n">
        <x:v>0</x:v>
      </x:c>
      <x:c r="M19" s="2" t="n">
        <x:v>1</x:v>
      </x:c>
      <x:c r="N19" s="2" t="n">
        <x:v>1</x:v>
      </x:c>
      <x:c r="O19" s="2" t="n">
        <x:v>1</x:v>
      </x:c>
      <x:c r="P19" s="2" t="str"/>
      <x:c r="Q19" s="2" t="str"/>
      <x:c r="R19" s="2" t="str">
        <x:v>Mischkostentopf</x:v>
      </x:c>
      <x:c r="S19" s="10" t="str">
        <x:v>Nicht aufgeteilt</x:v>
      </x:c>
      <x:c r="T19" s="11" t="n">
        <x:v>6000</x:v>
      </x:c>
    </x:row>
    <x:row r="20" ht="90" customHeight="1">
      <x:c r="A20" s="15" t="str">
        <x:v>ageqa</x:v>
      </x:c>
      <x:c r="B20" s="15" t="str">
        <x:v>Playtests &amp; Feedback-Updates</x:v>
      </x:c>
      <x:c r="C20" s="15" t="str">
        <x:v>Good to have</x:v>
      </x:c>
      <x:c r="D20" s="16" t="n">
        <x:v>17500</x:v>
      </x:c>
      <x:c r="E20" s="18" t="str">
        <x:v>Mit Altersgruppen erproben und die Erkenntnisse in Inhaltsupdates umsetzen.</x:v>
      </x:c>
      <x:c r="F20" s="18" t="str">
        <x:v>Tests mit Altersgruppen: Zwei zusätzliche Testzyklen mit mindestens zwei Altersgruppen, Auswertung und priorisierte UX-/Performance-/Game-Design-Verbesserungen. Teilnehmende und Einwilligungen organisiert der Partner. Update nach Schulfeedback: Ein gebündeltes Inhaltsupdate nach einer längeren Feedbackphase, Budgetkapazität bis ca. 7,8 Personentage. Anpassung bestehender Inhalte, kein neuer Lernort.</x:v>
      </x:c>
      <x:c r="G20" s="15" t="n">
        <x:v>24</x:v>
      </x:c>
      <x:c r="H20" s="15" t="str">
        <x:v>mittel</x:v>
      </x:c>
      <x:c r="I20" s="15" t="str">
        <x:v>Keine</x:v>
      </x:c>
      <x:c r="J20" s="15" t="str">
        <x:v>Nein</x:v>
      </x:c>
      <x:c r="K20" s="2" t="str"/>
      <x:c r="L20" s="2" t="n">
        <x:v>0</x:v>
      </x:c>
      <x:c r="M20" s="2" t="n">
        <x:v>1</x:v>
      </x:c>
      <x:c r="N20" s="2" t="n">
        <x:v>1</x:v>
      </x:c>
      <x:c r="O20" s="2" t="n">
        <x:v>1</x:v>
      </x:c>
      <x:c r="P20" s="2" t="str"/>
      <x:c r="Q20" s="2" t="str"/>
      <x:c r="R20" s="2" t="str">
        <x:v>Arbeitsleistung</x:v>
      </x:c>
      <x:c r="S20" s="10" t="n">
        <x:v>18.229166666666668</x:v>
      </x:c>
      <x:c r="T20" s="11" t="n">
        <x:v>14000</x:v>
      </x:c>
    </x:row>
    <x:row r="21" ht="90" customHeight="1">
      <x:c r="A21" s="13" t="str">
        <x:v>story</x:v>
      </x:c>
      <x:c r="B21" s="13" t="str">
        <x:v>Figuren, Geschichte &amp; Animationen</x:v>
      </x:c>
      <x:c r="C21" s="13" t="str">
        <x:v>Good to have</x:v>
      </x:c>
      <x:c r="D21" s="14" t="n">
        <x:v>27500</x:v>
      </x:c>
      <x:c r="E21" s="17" t="str">
        <x:v>Eigene Begleiter mit Dialogen, Handlung und passenden Bewegungen.</x:v>
      </x:c>
      <x:c r="F21" s="17" t="str">
        <x:v>Geschichte &amp; Dialoge: Ein kurzer Handlungsbogen, bis zu drei NPCs und ca. 60 kurze Dialogsequenzen; Textfassung ohne Vollvertonung. Eigene Charaktere: Bis zu drei stilisierte Charaktere auf gemeinsamem Grundaufbau, inklusive Basismaterialien und Rigging. Kein umfangreicher Avatar-Editor. Charakteranimationen: Bis zu acht zusätzliche, auf einem Rig wiederverwendbare Bewegungen. Keine Motion-Capture-Produktion.</x:v>
      </x:c>
      <x:c r="G21" s="13" t="n">
        <x:v>18</x:v>
      </x:c>
      <x:c r="H21" s="13" t="str">
        <x:v>mittel</x:v>
      </x:c>
      <x:c r="I21" s="13" t="str">
        <x:v>Keine</x:v>
      </x:c>
      <x:c r="J21" s="13" t="str">
        <x:v>Nein</x:v>
      </x:c>
      <x:c r="K21" s="2" t="str"/>
      <x:c r="L21" s="2" t="n">
        <x:v>0</x:v>
      </x:c>
      <x:c r="M21" s="2" t="n">
        <x:v>1</x:v>
      </x:c>
      <x:c r="N21" s="2" t="n">
        <x:v>1</x:v>
      </x:c>
      <x:c r="O21" s="2" t="n">
        <x:v>1</x:v>
      </x:c>
      <x:c r="P21" s="2" t="str"/>
      <x:c r="Q21" s="2" t="str"/>
      <x:c r="R21" s="2" t="str">
        <x:v>Arbeitsleistung</x:v>
      </x:c>
      <x:c r="S21" s="10" t="n">
        <x:v>28.645833333333332</x:v>
      </x:c>
      <x:c r="T21" s="11" t="n">
        <x:v>22000</x:v>
      </x:c>
    </x:row>
    <x:row r="22" ht="90" customHeight="1">
      <x:c r="A22" s="15" t="str">
        <x:v>fishanim</x:v>
      </x:c>
      <x:c r="B22" s="15" t="str">
        <x:v>Lebendigere Fische</x:v>
      </x:c>
      <x:c r="C22" s="15" t="str">
        <x:v>Good to have</x:v>
      </x:c>
      <x:c r="D22" s="16" t="n">
        <x:v>5000</x:v>
      </x:c>
      <x:c r="E22" s="18" t="str">
        <x:v>Mehr Verhalten unter der Oberfläche.</x:v>
      </x:c>
      <x:c r="F22" s="18" t="str">
        <x:v>Vier wiederverwendbare Animations-/Verhaltensbausteine für bestehende Fische; keine neue Artenbibliothek.</x:v>
      </x:c>
      <x:c r="G22" s="15" t="n">
        <x:v>15</x:v>
      </x:c>
      <x:c r="H22" s="15" t="str">
        <x:v>mittel</x:v>
      </x:c>
      <x:c r="I22" s="15" t="str">
        <x:v>Keine</x:v>
      </x:c>
      <x:c r="J22" s="15" t="str">
        <x:v>Nein</x:v>
      </x:c>
      <x:c r="K22" s="2" t="str"/>
      <x:c r="L22" s="2" t="n">
        <x:v>0</x:v>
      </x:c>
      <x:c r="M22" s="2" t="n">
        <x:v>1</x:v>
      </x:c>
      <x:c r="N22" s="2" t="n">
        <x:v>1</x:v>
      </x:c>
      <x:c r="O22" s="2" t="n">
        <x:v>1</x:v>
      </x:c>
      <x:c r="P22" s="2" t="str"/>
      <x:c r="Q22" s="2" t="str"/>
      <x:c r="R22" s="2" t="str">
        <x:v>Arbeitsleistung</x:v>
      </x:c>
      <x:c r="S22" s="10" t="n">
        <x:v>5.208333333333333</x:v>
      </x:c>
      <x:c r="T22" s="11" t="n">
        <x:v>4000</x:v>
      </x:c>
    </x:row>
    <x:row r="23" ht="90" customHeight="1">
      <x:c r="A23" s="13" t="str">
        <x:v>voice</x:v>
      </x:c>
      <x:c r="B23" s="13" t="str">
        <x:v>Sprachausgabe &amp; Musik</x:v>
      </x:c>
      <x:c r="C23" s="13" t="str">
        <x:v>Good to have</x:v>
      </x:c>
      <x:c r="D23" s="14" t="n">
        <x:v>14000</x:v>
      </x:c>
      <x:c r="E23" s="17" t="str">
        <x:v>Vertonte Lerninhalte und ein eigener Soundtrack für die Lernwelt.</x:v>
      </x:c>
      <x:c r="F23" s="17" t="str">
        <x:v>Sprachausgabe: Bis zu 45 Minuten deutsche Sprachaufnahmen, Schnitt und Einbau, mit bis zu zwei Stimmen. Sprecherhonorare im Budgettopf; Nutzungsrechte und Textfreigabe vor Aufnahme klären. Eigener Soundtrack: Drei kurze, wiederholbare Musikstücke, Arrangement und Einbau. Budget inklusive üblicher Produktion; konkreter Rechteumfang mit Musikschaffenden vereinbaren.</x:v>
      </x:c>
      <x:c r="G23" s="13" t="n">
        <x:v>18</x:v>
      </x:c>
      <x:c r="H23" s="13" t="str">
        <x:v>hoch</x:v>
      </x:c>
      <x:c r="I23" s="13" t="str">
        <x:v>story</x:v>
      </x:c>
      <x:c r="J23" s="13" t="str">
        <x:v>Nein</x:v>
      </x:c>
      <x:c r="K23" s="2" t="str"/>
      <x:c r="L23" s="2" t="n">
        <x:v>0</x:v>
      </x:c>
      <x:c r="M23" s="2" t="n">
        <x:v>1</x:v>
      </x:c>
      <x:c r="N23" s="2" t="n">
        <x:v>1</x:v>
      </x:c>
      <x:c r="O23" s="2" t="n">
        <x:v>1</x:v>
      </x:c>
      <x:c r="P23" s="2" t="str"/>
      <x:c r="Q23" s="2" t="str"/>
      <x:c r="R23" s="2" t="str">
        <x:v>Mischkostentopf</x:v>
      </x:c>
      <x:c r="S23" s="10" t="str">
        <x:v>Nicht aufgeteilt</x:v>
      </x:c>
      <x:c r="T23" s="11" t="n">
        <x:v>14000</x:v>
      </x:c>
    </x:row>
    <x:row r="24" ht="104" customHeight="1">
      <x:c r="A24" s="15" t="str">
        <x:v>apps</x:v>
      </x:c>
      <x:c r="B24" s="15" t="str">
        <x:v>Mobile Umsetzung &amp; Veröffentlichung</x:v>
      </x:c>
      <x:c r="C24" s="15" t="str">
        <x:v>Good to have</x:v>
      </x:c>
      <x:c r="D24" s="16" t="n">
        <x:v>30000</x:v>
      </x:c>
      <x:c r="E24" s="18" t="str">
        <x:v>Smartphone-Bedienung, Android-/iOS-Builds und erste Store-Einreichung. Zuordnung zum Fundament im Workshop klären.</x:v>
      </x:c>
      <x:c r="F24" s="18" t="str">
        <x:v>Smartphone-Bedienung: Anpassung von UI, Touch-Eingabe und Performance an eine begrenzte Smartphone-Gerätematrix. Kein Store-Release und kein Offline-Vollbetrieb enthalten. Android- &amp; iOS-App: Builds, mobile Integration und Tests für Android/iOS mit vorhandenen Inhalten. Ein Zielgeräteprofil je Plattform; keine zusätzliche komplette Offline-Synchronisierung. App-Store-Betreuung: Ersteinreichung in zwei Stores, Metadaten und bis zu zwei technische Review-Schleifen. Entwicklerkonten/Gebühren trägt der Auftraggeber; Freigabe durch Stores nicht garantiert.</x:v>
      </x:c>
      <x:c r="G24" s="15" t="n">
        <x:v>24</x:v>
      </x:c>
      <x:c r="H24" s="15" t="str">
        <x:v>mittel</x:v>
      </x:c>
      <x:c r="I24" s="15" t="str">
        <x:v>Keine</x:v>
      </x:c>
      <x:c r="J24" s="15" t="str">
        <x:v>Nein</x:v>
      </x:c>
      <x:c r="K24" s="2" t="str"/>
      <x:c r="L24" s="2" t="n">
        <x:v>0</x:v>
      </x:c>
      <x:c r="M24" s="2" t="n">
        <x:v>0</x:v>
      </x:c>
      <x:c r="N24" s="2" t="n">
        <x:v>1</x:v>
      </x:c>
      <x:c r="O24" s="2" t="n">
        <x:v>1</x:v>
      </x:c>
      <x:c r="P24" s="2" t="str"/>
      <x:c r="Q24" s="2" t="str"/>
      <x:c r="R24" s="2" t="str">
        <x:v>Arbeitsleistung</x:v>
      </x:c>
      <x:c r="S24" s="10" t="n">
        <x:v>31.25</x:v>
      </x:c>
      <x:c r="T24" s="11" t="n">
        <x:v>24000</x:v>
      </x:c>
    </x:row>
    <x:row r="25" ht="90" customHeight="1">
      <x:c r="A25" s="13" t="str">
        <x:v>desktop</x:v>
      </x:c>
      <x:c r="B25" s="13" t="str">
        <x:v>Desktop-Version</x:v>
      </x:c>
      <x:c r="C25" s="13" t="str">
        <x:v>Good to have</x:v>
      </x:c>
      <x:c r="D25" s="14" t="n">
        <x:v>5000</x:v>
      </x:c>
      <x:c r="E25" s="17" t="str">
        <x:v>Optionaler PC-Port für zu Hause.</x:v>
      </x:c>
      <x:c r="F25" s="17" t="str">
        <x:v>Optionaler herunterladbarer Windows-PC-Port der Hauptapp mit Installation, angepasster Maus-/Tastaturbedienung und Smoke-Tests. Persönlichen Fortschritt nach Anmeldung laden; macOS/Linux und eigener Launcher nicht enthalten.</x:v>
      </x:c>
      <x:c r="G25" s="13" t="n">
        <x:v>18</x:v>
      </x:c>
      <x:c r="H25" s="13" t="str">
        <x:v>mittel</x:v>
      </x:c>
      <x:c r="I25" s="13" t="str">
        <x:v>Keine</x:v>
      </x:c>
      <x:c r="J25" s="13" t="str">
        <x:v>Nein</x:v>
      </x:c>
      <x:c r="K25" s="2" t="str"/>
      <x:c r="L25" s="2" t="n">
        <x:v>0</x:v>
      </x:c>
      <x:c r="M25" s="2" t="n">
        <x:v>0</x:v>
      </x:c>
      <x:c r="N25" s="2" t="n">
        <x:v>1</x:v>
      </x:c>
      <x:c r="O25" s="2" t="n">
        <x:v>1</x:v>
      </x:c>
      <x:c r="P25" s="2" t="str"/>
      <x:c r="Q25" s="2" t="str"/>
      <x:c r="R25" s="2" t="str">
        <x:v>Arbeitsleistung</x:v>
      </x:c>
      <x:c r="S25" s="10" t="n">
        <x:v>5.208333333333333</x:v>
      </x:c>
      <x:c r="T25" s="11" t="n">
        <x:v>4000</x:v>
      </x:c>
    </x:row>
    <x:row r="26" ht="90" customHeight="1">
      <x:c r="A26" s="15" t="str">
        <x:v>lti</x:v>
      </x:c>
      <x:c r="B26" s="15" t="str">
        <x:v>Schul-Login &amp; Lernplattform-Anbindung</x:v>
      </x:c>
      <x:c r="C26" s="15" t="str">
        <x:v>Good to have</x:v>
      </x:c>
      <x:c r="D26" s="16" t="n">
        <x:v>15000</x:v>
      </x:c>
      <x:c r="E26" s="18" t="str">
        <x:v>Anmeldung über Schulzugänge und Anbindung an eine Lernplattform.</x:v>
      </x:c>
      <x:c r="F26" s="18" t="str">
        <x:v>Schul-Login / OIDC: Anbindung eines vorhandenen Identity-Providers über OpenID Connect (auf OAuth 2.0 aufbauend). Bereitstellung von Zugang, Testumgebung und Ansprechpartner durch den Partner erforderlich. Lernplattform-Anbindung: LTI 1.3 Core-Anbindung an ein benanntes LMS: eigener OIDC-Start über das LMS und Kontextübergabe. Ein separater Schul-IdP ist dafür nicht nötig. Notenrückgabe, Zertifizierung und weitere LMS separat; kein pauschales „funktioniert mit allem“.</x:v>
      </x:c>
      <x:c r="G26" s="15" t="n">
        <x:v>18</x:v>
      </x:c>
      <x:c r="H26" s="15" t="str">
        <x:v>hoch</x:v>
      </x:c>
      <x:c r="I26" s="15" t="str">
        <x:v>Keine</x:v>
      </x:c>
      <x:c r="J26" s="15" t="str">
        <x:v>Nein</x:v>
      </x:c>
      <x:c r="K26" s="2" t="str"/>
      <x:c r="L26" s="2" t="n">
        <x:v>0</x:v>
      </x:c>
      <x:c r="M26" s="2" t="n">
        <x:v>0</x:v>
      </x:c>
      <x:c r="N26" s="2" t="n">
        <x:v>1</x:v>
      </x:c>
      <x:c r="O26" s="2" t="n">
        <x:v>1</x:v>
      </x:c>
      <x:c r="P26" s="2" t="str"/>
      <x:c r="Q26" s="2" t="str"/>
      <x:c r="R26" s="2" t="str">
        <x:v>Arbeitsleistung</x:v>
      </x:c>
      <x:c r="S26" s="10" t="n">
        <x:v>15.625</x:v>
      </x:c>
      <x:c r="T26" s="11" t="n">
        <x:v>12000</x:v>
      </x:c>
    </x:row>
    <x:row r="27" ht="90" customHeight="1">
      <x:c r="A27" s="13" t="str">
        <x:v>weather</x:v>
      </x:c>
      <x:c r="B27" s="13" t="str">
        <x:v>Wetter &amp; Tagesstimmung</x:v>
      </x:c>
      <x:c r="C27" s="13" t="str">
        <x:v>Good to have</x:v>
      </x:c>
      <x:c r="D27" s="14" t="n">
        <x:v>7500</x:v>
      </x:c>
      <x:c r="E27" s="17" t="str">
        <x:v>Gewässer bei Wind und Wetter erleben.</x:v>
      </x:c>
      <x:c r="F27" s="17" t="str">
        <x:v>Drei Wetterzustände plus einfache Tageslichtwechsel mit Lernbezug. Nutzung vorhandener Technik, keine physikalische Wettervorhersage.</x:v>
      </x:c>
      <x:c r="G27" s="13" t="n">
        <x:v>18</x:v>
      </x:c>
      <x:c r="H27" s="13" t="str">
        <x:v>mittel</x:v>
      </x:c>
      <x:c r="I27" s="13" t="str">
        <x:v>Keine</x:v>
      </x:c>
      <x:c r="J27" s="13" t="str">
        <x:v>Nein</x:v>
      </x:c>
      <x:c r="K27" s="2" t="str"/>
      <x:c r="L27" s="2" t="n">
        <x:v>0</x:v>
      </x:c>
      <x:c r="M27" s="2" t="n">
        <x:v>0</x:v>
      </x:c>
      <x:c r="N27" s="2" t="n">
        <x:v>1</x:v>
      </x:c>
      <x:c r="O27" s="2" t="n">
        <x:v>1</x:v>
      </x:c>
      <x:c r="P27" s="2" t="str"/>
      <x:c r="Q27" s="2" t="str"/>
      <x:c r="R27" s="2" t="str">
        <x:v>Arbeitsleistung</x:v>
      </x:c>
      <x:c r="S27" s="10" t="n">
        <x:v>7.8125</x:v>
      </x:c>
      <x:c r="T27" s="11" t="n">
        <x:v>6000</x:v>
      </x:c>
    </x:row>
    <x:row r="28" ht="90" customHeight="1">
      <x:c r="A28" s="15" t="str">
        <x:v>vehicles</x:v>
      </x:c>
      <x:c r="B28" s="15" t="str">
        <x:v>Boot, Geländewagen &amp; Quad</x:v>
      </x:c>
      <x:c r="C28" s="15" t="str">
        <x:v>Good to have</x:v>
      </x:c>
      <x:c r="D28" s="16" t="n">
        <x:v>8000</x:v>
      </x:c>
      <x:c r="E28" s="18" t="str">
        <x:v>Neue Wege durch vorhandene Orte.</x:v>
      </x:c>
      <x:c r="F28" s="18" t="str">
        <x:v>Drei einfache Fortbewegungsvarianten auf Basis lizenzierter Assets. Vereinfachte Steuerung und definierte Strecken; keine Fahrsimulation.</x:v>
      </x:c>
      <x:c r="G28" s="15" t="n">
        <x:v>18</x:v>
      </x:c>
      <x:c r="H28" s="15" t="str">
        <x:v>hoch</x:v>
      </x:c>
      <x:c r="I28" s="15" t="str">
        <x:v>Keine</x:v>
      </x:c>
      <x:c r="J28" s="15" t="str">
        <x:v>Nein</x:v>
      </x:c>
      <x:c r="K28" s="2" t="str"/>
      <x:c r="L28" s="2" t="n">
        <x:v>0</x:v>
      </x:c>
      <x:c r="M28" s="2" t="n">
        <x:v>0</x:v>
      </x:c>
      <x:c r="N28" s="2" t="n">
        <x:v>1</x:v>
      </x:c>
      <x:c r="O28" s="2" t="n">
        <x:v>1</x:v>
      </x:c>
      <x:c r="P28" s="2" t="str"/>
      <x:c r="Q28" s="2" t="str"/>
      <x:c r="R28" s="2" t="str">
        <x:v>Mischkostentopf</x:v>
      </x:c>
      <x:c r="S28" s="10" t="str">
        <x:v>Nicht aufgeteilt</x:v>
      </x:c>
      <x:c r="T28" s="11" t="n">
        <x:v>8000</x:v>
      </x:c>
    </x:row>
    <x:row r="29" ht="90" customHeight="1">
      <x:c r="A29" s="13" t="str">
        <x:v>sound</x:v>
      </x:c>
      <x:c r="B29" s="13" t="str">
        <x:v>Eigenes Sounddesign</x:v>
      </x:c>
      <x:c r="C29" s="13" t="str">
        <x:v>Good to have</x:v>
      </x:c>
      <x:c r="D29" s="14" t="n">
        <x:v>7500</x:v>
      </x:c>
      <x:c r="E29" s="17" t="str">
        <x:v>Wasser, Würfe und Natur hören.</x:v>
      </x:c>
      <x:c r="F29" s="17" t="str">
        <x:v>Bis zu 30 kurze Spiel-/Umgebungsgeräusche, Bearbeitung und adaptive Einbindung; bestehende Bibliotheken dürfen ergänzen.</x:v>
      </x:c>
      <x:c r="G29" s="13" t="n">
        <x:v>18</x:v>
      </x:c>
      <x:c r="H29" s="13" t="str">
        <x:v>mittel</x:v>
      </x:c>
      <x:c r="I29" s="13" t="str">
        <x:v>Keine</x:v>
      </x:c>
      <x:c r="J29" s="13" t="str">
        <x:v>Nein</x:v>
      </x:c>
      <x:c r="K29" s="2" t="str"/>
      <x:c r="L29" s="2" t="n">
        <x:v>0</x:v>
      </x:c>
      <x:c r="M29" s="2" t="n">
        <x:v>0</x:v>
      </x:c>
      <x:c r="N29" s="2" t="n">
        <x:v>1</x:v>
      </x:c>
      <x:c r="O29" s="2" t="n">
        <x:v>1</x:v>
      </x:c>
      <x:c r="P29" s="2" t="str"/>
      <x:c r="Q29" s="2" t="str"/>
      <x:c r="R29" s="2" t="str">
        <x:v>Arbeitsleistung</x:v>
      </x:c>
      <x:c r="S29" s="10" t="n">
        <x:v>7.8125</x:v>
      </x:c>
      <x:c r="T29" s="11" t="n">
        <x:v>6000</x:v>
      </x:c>
    </x:row>
    <x:row r="30" ht="90" customHeight="1">
      <x:c r="A30" s="15" t="str">
        <x:v>art</x:v>
      </x:c>
      <x:c r="B30" s="15" t="str">
        <x:v>Illustrationen &amp; Benutzeroberfläche</x:v>
      </x:c>
      <x:c r="C30" s="15" t="str">
        <x:v>Good to have</x:v>
      </x:c>
      <x:c r="D30" s="16" t="n">
        <x:v>10000</x:v>
      </x:c>
      <x:c r="E30" s="18" t="str">
        <x:v>Individuelle Splash-Art und eine handgemalte, gut lesbare Oberfläche.</x:v>
      </x:c>
      <x:c r="F30" s="18" t="str">
        <x:v>Individuelle Splash-Art: Drei zentrale Illustrationen, etwa Startbild und Kapitelmotive, inklusive einer Korrekturschleife pro Motiv. Handgemalte Oberfläche: Gestaltung zentraler Menüs, HUD und Dialograhmen in einem handgemalten Stil. Lesbarkeit und Bedienbarkeit bleiben Abnahmekriterien.</x:v>
      </x:c>
      <x:c r="G30" s="15" t="n">
        <x:v>18</x:v>
      </x:c>
      <x:c r="H30" s="15" t="str">
        <x:v>mittel</x:v>
      </x:c>
      <x:c r="I30" s="15" t="str">
        <x:v>Keine</x:v>
      </x:c>
      <x:c r="J30" s="15" t="str">
        <x:v>Nein</x:v>
      </x:c>
      <x:c r="K30" s="2" t="str"/>
      <x:c r="L30" s="2" t="n">
        <x:v>0</x:v>
      </x:c>
      <x:c r="M30" s="2" t="n">
        <x:v>0</x:v>
      </x:c>
      <x:c r="N30" s="2" t="n">
        <x:v>1</x:v>
      </x:c>
      <x:c r="O30" s="2" t="n">
        <x:v>1</x:v>
      </x:c>
      <x:c r="P30" s="2" t="str"/>
      <x:c r="Q30" s="2" t="str"/>
      <x:c r="R30" s="2" t="str">
        <x:v>Arbeitsleistung</x:v>
      </x:c>
      <x:c r="S30" s="10" t="n">
        <x:v>10.416666666666666</x:v>
      </x:c>
      <x:c r="T30" s="11" t="n">
        <x:v>8000</x:v>
      </x:c>
    </x:row>
    <x:row r="31" ht="90" customHeight="1">
      <x:c r="A31" s="13" t="str">
        <x:v>videos</x:v>
      </x:c>
      <x:c r="B31" s="13" t="str">
        <x:v>Eigene Lernvideos</x:v>
      </x:c>
      <x:c r="C31" s="13" t="str">
        <x:v>Good to have</x:v>
      </x:c>
      <x:c r="D31" s="14" t="n">
        <x:v>10000</x:v>
      </x:c>
      <x:c r="E31" s="17" t="str">
        <x:v>Schwierige Handgriffe verständlich zeigen.</x:v>
      </x:c>
      <x:c r="F31" s="17" t="str">
        <x:v>Bis zu sechs kurze Videos à 60–90 Sekunden auf Basis abgestimmter Skripte, überwiegend Animation/Screen-Capture, Untertitel und Einbindung. Kein aufwendiger Außendreh.</x:v>
      </x:c>
      <x:c r="G31" s="13" t="n">
        <x:v>18</x:v>
      </x:c>
      <x:c r="H31" s="13" t="str">
        <x:v>mittel</x:v>
      </x:c>
      <x:c r="I31" s="13" t="str">
        <x:v>Keine</x:v>
      </x:c>
      <x:c r="J31" s="13" t="str">
        <x:v>Nein</x:v>
      </x:c>
      <x:c r="K31" s="2" t="str"/>
      <x:c r="L31" s="2" t="n">
        <x:v>0</x:v>
      </x:c>
      <x:c r="M31" s="2" t="n">
        <x:v>0</x:v>
      </x:c>
      <x:c r="N31" s="2" t="n">
        <x:v>1</x:v>
      </x:c>
      <x:c r="O31" s="2" t="n">
        <x:v>1</x:v>
      </x:c>
      <x:c r="P31" s="2" t="str"/>
      <x:c r="Q31" s="2" t="str"/>
      <x:c r="R31" s="2" t="str">
        <x:v>Arbeitsleistung</x:v>
      </x:c>
      <x:c r="S31" s="10" t="n">
        <x:v>10.416666666666666</x:v>
      </x:c>
      <x:c r="T31" s="11" t="n">
        <x:v>8000</x:v>
      </x:c>
    </x:row>
    <x:row r="32" ht="90" customHeight="1">
      <x:c r="A32" s="15" t="str">
        <x:v>shop</x:v>
      </x:c>
      <x:c r="B32" s="15" t="str">
        <x:v>Ausrüstung freischalten</x:v>
      </x:c>
      <x:c r="C32" s="15" t="str">
        <x:v>Good to have</x:v>
      </x:c>
      <x:c r="D32" s="16" t="n">
        <x:v>5000</x:v>
      </x:c>
      <x:c r="E32" s="18" t="str">
        <x:v>Lernen bringt neue Möglichkeiten.</x:v>
      </x:c>
      <x:c r="F32" s="18" t="str">
        <x:v>Virtueller Angelshop mit bis zu zwölf Ausrüstungsobjekten und rein spielinternen Freischaltungen. Keine Echtgeldkäufe.</x:v>
      </x:c>
      <x:c r="G32" s="15" t="n">
        <x:v>18</x:v>
      </x:c>
      <x:c r="H32" s="15" t="str">
        <x:v>mittel</x:v>
      </x:c>
      <x:c r="I32" s="15" t="str">
        <x:v>Keine</x:v>
      </x:c>
      <x:c r="J32" s="15" t="str">
        <x:v>Nein</x:v>
      </x:c>
      <x:c r="K32" s="2" t="str"/>
      <x:c r="L32" s="2" t="n">
        <x:v>0</x:v>
      </x:c>
      <x:c r="M32" s="2" t="n">
        <x:v>0</x:v>
      </x:c>
      <x:c r="N32" s="2" t="n">
        <x:v>1</x:v>
      </x:c>
      <x:c r="O32" s="2" t="n">
        <x:v>1</x:v>
      </x:c>
      <x:c r="P32" s="2" t="str"/>
      <x:c r="Q32" s="2" t="str"/>
      <x:c r="R32" s="2" t="str">
        <x:v>Arbeitsleistung</x:v>
      </x:c>
      <x:c r="S32" s="10" t="n">
        <x:v>5.208333333333333</x:v>
      </x:c>
      <x:c r="T32" s="11" t="n">
        <x:v>4000</x:v>
      </x:c>
    </x:row>
    <x:row r="33" ht="90" customHeight="1">
      <x:c r="A33" s="13" t="str">
        <x:v>swim</x:v>
      </x:c>
      <x:c r="B33" s="13" t="str">
        <x:v>Schwimmen &amp; Tauchen</x:v>
      </x:c>
      <x:c r="C33" s="13" t="str">
        <x:v>Nice to have</x:v>
      </x:c>
      <x:c r="D33" s="14" t="n">
        <x:v>12500</x:v>
      </x:c>
      <x:c r="E33" s="17" t="str">
        <x:v>Gewässer an der Oberfläche und unter Wasser erkunden.</x:v>
      </x:c>
      <x:c r="F33" s="17" t="str">
        <x:v>Schwimmen: Schwimmsteuerung und sichere Ein-/Ausstiege in vorhandenen Lernorten; Lernkontext und Sicherheitshinweise fachlich abstimmen. Tauchen: Tauchsteuerung, Sicht-/Kameraeffekte und ein kompakter Unterwasser-Lernbereich. Bestehende Orte/Assets werden weitergenutzt.</x:v>
      </x:c>
      <x:c r="G33" s="13" t="n">
        <x:v>21</x:v>
      </x:c>
      <x:c r="H33" s="13" t="str">
        <x:v>mittel</x:v>
      </x:c>
      <x:c r="I33" s="13" t="str">
        <x:v>Keine</x:v>
      </x:c>
      <x:c r="J33" s="13" t="str">
        <x:v>Nein</x:v>
      </x:c>
      <x:c r="K33" s="2" t="str"/>
      <x:c r="L33" s="2" t="n">
        <x:v>0</x:v>
      </x:c>
      <x:c r="M33" s="2" t="n">
        <x:v>0</x:v>
      </x:c>
      <x:c r="N33" s="2" t="n">
        <x:v>0</x:v>
      </x:c>
      <x:c r="O33" s="2" t="n">
        <x:v>1</x:v>
      </x:c>
      <x:c r="P33" s="2" t="str"/>
      <x:c r="Q33" s="2" t="str"/>
      <x:c r="R33" s="2" t="str">
        <x:v>Arbeitsleistung</x:v>
      </x:c>
      <x:c r="S33" s="10" t="n">
        <x:v>13.020833333333334</x:v>
      </x:c>
      <x:c r="T33" s="11" t="n">
        <x:v>10000</x:v>
      </x:c>
    </x:row>
    <x:row r="34" ht="90" customHeight="1">
      <x:c r="A34" s="15" t="str">
        <x:v>secrets</x:v>
      </x:c>
      <x:c r="B34" s="15" t="str">
        <x:v>Geheime Angelspots</x:v>
      </x:c>
      <x:c r="C34" s="15" t="str">
        <x:v>Nice to have</x:v>
      </x:c>
      <x:c r="D34" s="16" t="n">
        <x:v>2500</x:v>
      </x:c>
      <x:c r="E34" s="18" t="str">
        <x:v>Kleine Entdeckungen abseits des Wegs.</x:v>
      </x:c>
      <x:c r="F34" s="18" t="str">
        <x:v>Drei versteckte Spots/Easter Eggs in bestehenden Orten, mit kleinen Belohnungen. Keine neuen Biome.</x:v>
      </x:c>
      <x:c r="G34" s="15" t="n">
        <x:v>21</x:v>
      </x:c>
      <x:c r="H34" s="15" t="str">
        <x:v>mittel</x:v>
      </x:c>
      <x:c r="I34" s="15" t="str">
        <x:v>Keine</x:v>
      </x:c>
      <x:c r="J34" s="15" t="str">
        <x:v>Nein</x:v>
      </x:c>
      <x:c r="K34" s="2" t="str"/>
      <x:c r="L34" s="2" t="n">
        <x:v>0</x:v>
      </x:c>
      <x:c r="M34" s="2" t="n">
        <x:v>0</x:v>
      </x:c>
      <x:c r="N34" s="2" t="n">
        <x:v>0</x:v>
      </x:c>
      <x:c r="O34" s="2" t="n">
        <x:v>1</x:v>
      </x:c>
      <x:c r="P34" s="2" t="str"/>
      <x:c r="Q34" s="2" t="str"/>
      <x:c r="R34" s="2" t="str">
        <x:v>Arbeitsleistung</x:v>
      </x:c>
      <x:c r="S34" s="10" t="n">
        <x:v>2.6041666666666665</x:v>
      </x:c>
      <x:c r="T34" s="11" t="n">
        <x:v>2000</x:v>
      </x:c>
    </x:row>
    <x:row r="35" ht="90" customHeight="1">
      <x:c r="A35" s="13" t="str">
        <x:v>exam3d</x:v>
      </x:c>
      <x:c r="B35" s="13" t="str">
        <x:v>Prüfungssimulation in 3D</x:v>
      </x:c>
      <x:c r="C35" s="13" t="str">
        <x:v>Nice to have</x:v>
      </x:c>
      <x:c r="D35" s="14" t="n">
        <x:v>7500</x:v>
      </x:c>
      <x:c r="E35" s="17" t="str">
        <x:v>Gelerntes in einer Situation anwenden.</x:v>
      </x:c>
      <x:c r="F35" s="17" t="str">
        <x:v>Eine inszenierte Übungssituation mit bis zu sechs Aufgaben und Auswertung. Kein Ersatz für eine amtliche Prüfung.</x:v>
      </x:c>
      <x:c r="G35" s="13" t="n">
        <x:v>21</x:v>
      </x:c>
      <x:c r="H35" s="13" t="str">
        <x:v>mittel</x:v>
      </x:c>
      <x:c r="I35" s="13" t="str">
        <x:v>Keine</x:v>
      </x:c>
      <x:c r="J35" s="13" t="str">
        <x:v>Nein</x:v>
      </x:c>
      <x:c r="K35" s="2" t="str"/>
      <x:c r="L35" s="2" t="n">
        <x:v>0</x:v>
      </x:c>
      <x:c r="M35" s="2" t="n">
        <x:v>0</x:v>
      </x:c>
      <x:c r="N35" s="2" t="n">
        <x:v>0</x:v>
      </x:c>
      <x:c r="O35" s="2" t="n">
        <x:v>1</x:v>
      </x:c>
      <x:c r="P35" s="2" t="str"/>
      <x:c r="Q35" s="2" t="str"/>
      <x:c r="R35" s="2" t="str">
        <x:v>Arbeitsleistung</x:v>
      </x:c>
      <x:c r="S35" s="10" t="n">
        <x:v>7.8125</x:v>
      </x:c>
      <x:c r="T35" s="11" t="n">
        <x:v>6000</x:v>
      </x:c>
    </x:row>
    <x:row r="36" ht="90" customHeight="1">
      <x:c r="A36" s="15" t="str">
        <x:v>fjord</x:v>
      </x:c>
      <x:c r="B36" s="15" t="str">
        <x:v>Zusätzliche internationale Lernorte</x:v>
      </x:c>
      <x:c r="C36" s="15" t="str">
        <x:v>Nice to have</x:v>
      </x:c>
      <x:c r="D36" s="16" t="n">
        <x:v>15000</x:v>
      </x:c>
      <x:c r="E36" s="18" t="str">
        <x:v>Norwegischer Fjord, Mittelmeer und Atlantikküste als gemeinsames Ortspaket.</x:v>
      </x:c>
      <x:c r="F36" s="18" t="str">
        <x:v>Lernort: Norwegischer Fjord: Kompakter Zusatzort aus bestehendem Baukasten, bis zu drei Spots und fünf vorhandene/adaptierte Arten. Partner liefert fachlichen Inhalt; keine Lokalisation. Lernort: Mittelmeer: Kompakter Zusatzort aus bestehendem Baukasten, bis zu drei Spots und fünf vorhandene/adaptierte Arten. Neue individuelle Tiermodelle separat. Lernort: Atlantikküste: Kompakter Zusatzort aus bestehendem Baukasten, bis zu drei Spots und fünf vorhandene/adaptierte Arten. Kein fremdsprachiges Gesamtprodukt.</x:v>
      </x:c>
      <x:c r="G36" s="15" t="n">
        <x:v>24</x:v>
      </x:c>
      <x:c r="H36" s="15" t="str">
        <x:v>mittel</x:v>
      </x:c>
      <x:c r="I36" s="15" t="str">
        <x:v>Keine</x:v>
      </x:c>
      <x:c r="J36" s="15" t="str">
        <x:v>Nein</x:v>
      </x:c>
      <x:c r="K36" s="2" t="str"/>
      <x:c r="L36" s="2" t="n">
        <x:v>0</x:v>
      </x:c>
      <x:c r="M36" s="2" t="n">
        <x:v>0</x:v>
      </x:c>
      <x:c r="N36" s="2" t="n">
        <x:v>0</x:v>
      </x:c>
      <x:c r="O36" s="2" t="n">
        <x:v>1</x:v>
      </x:c>
      <x:c r="P36" s="2" t="str"/>
      <x:c r="Q36" s="2" t="str"/>
      <x:c r="R36" s="2" t="str">
        <x:v>Arbeitsleistung</x:v>
      </x:c>
      <x:c r="S36" s="10" t="n">
        <x:v>15.625</x:v>
      </x:c>
      <x:c r="T36" s="11" t="n">
        <x:v>12000</x:v>
      </x:c>
    </x:row>
    <x:row r="37" ht="90" customHeight="1">
      <x:c r="A37" s="13" t="str">
        <x:v>leaderboard</x:v>
      </x:c>
      <x:c r="B37" s="13" t="str">
        <x:v>Gruppen-Bestenlisten</x:v>
      </x:c>
      <x:c r="C37" s="13" t="str">
        <x:v>Nice to have</x:v>
      </x:c>
      <x:c r="D37" s="14" t="n">
        <x:v>2500</x:v>
      </x:c>
      <x:c r="E37" s="17" t="str">
        <x:v>Gemeinsame Lernziele sichtbar machen.</x:v>
      </x:c>
      <x:c r="F37" s="17" t="str">
        <x:v>Pseudonyme, auf die eigene Lerngruppe begrenzte Ranglisten; pädagogisches Konzept und freiwillige Teilnahme abstimmen. Kein öffentliches Kinderprofil.</x:v>
      </x:c>
      <x:c r="G37" s="13" t="n">
        <x:v>21</x:v>
      </x:c>
      <x:c r="H37" s="13" t="str">
        <x:v>mittel</x:v>
      </x:c>
      <x:c r="I37" s="13" t="str">
        <x:v>Keine</x:v>
      </x:c>
      <x:c r="J37" s="13" t="str">
        <x:v>Nein</x:v>
      </x:c>
      <x:c r="K37" s="2" t="str"/>
      <x:c r="L37" s="2" t="n">
        <x:v>0</x:v>
      </x:c>
      <x:c r="M37" s="2" t="n">
        <x:v>0</x:v>
      </x:c>
      <x:c r="N37" s="2" t="n">
        <x:v>0</x:v>
      </x:c>
      <x:c r="O37" s="2" t="n">
        <x:v>0</x:v>
      </x:c>
      <x:c r="P37" s="2" t="str"/>
      <x:c r="Q37" s="2" t="str"/>
      <x:c r="R37" s="2" t="str">
        <x:v>Arbeitsleistung</x:v>
      </x:c>
      <x:c r="S37" s="10" t="n">
        <x:v>2.6041666666666665</x:v>
      </x:c>
      <x:c r="T37" s="11" t="n">
        <x:v>2000</x:v>
      </x:c>
    </x:row>
    <x:row r="38" ht="90" customHeight="1">
      <x:c r="A38" s="15" t="str">
        <x:v>steam</x:v>
      </x:c>
      <x:c r="B38" s="15" t="str">
        <x:v>Steam &amp; Steam Deck</x:v>
      </x:c>
      <x:c r="C38" s="15" t="str">
        <x:v>Nice to have</x:v>
      </x:c>
      <x:c r="D38" s="16" t="n">
        <x:v>7500</x:v>
      </x:c>
      <x:c r="E38" s="18" t="str">
        <x:v>PC-Veröffentlichung auf Steam mit Controller- und Steam-Deck-Anpassung.</x:v>
      </x:c>
      <x:c r="F38" s="18" t="str">
        <x:v>Veröffentlichung auf Steam: Store-Auftritt, Integration und erste Einreichung für Windows. Plattformgebühren, Vermarktung und Umsatzbeteiligungen separat. Steam Deck / Handheld: Controller-Layout, UI-Anpassung und Leistungstests für ein Steam-Deck-Zielprofil. Keine allgemeine Konsolenportierung oder garantierte Verified-Einstufung.</x:v>
      </x:c>
      <x:c r="G38" s="15" t="n">
        <x:v>24</x:v>
      </x:c>
      <x:c r="H38" s="15" t="str">
        <x:v>mittel</x:v>
      </x:c>
      <x:c r="I38" s="15" t="str">
        <x:v>desktop</x:v>
      </x:c>
      <x:c r="J38" s="15" t="str">
        <x:v>Nein</x:v>
      </x:c>
      <x:c r="K38" s="2" t="str"/>
      <x:c r="L38" s="2" t="n">
        <x:v>0</x:v>
      </x:c>
      <x:c r="M38" s="2" t="n">
        <x:v>0</x:v>
      </x:c>
      <x:c r="N38" s="2" t="n">
        <x:v>0</x:v>
      </x:c>
      <x:c r="O38" s="2" t="n">
        <x:v>1</x:v>
      </x:c>
      <x:c r="P38" s="2" t="str"/>
      <x:c r="Q38" s="2" t="str"/>
      <x:c r="R38" s="2" t="str">
        <x:v>Arbeitsleistung</x:v>
      </x:c>
      <x:c r="S38" s="10" t="n">
        <x:v>7.8125</x:v>
      </x:c>
      <x:c r="T38" s="11" t="n">
        <x:v>6000</x:v>
      </x:c>
    </x:row>
    <x:row r="39" ht="90" customHeight="1">
      <x:c r="A39" s="13" t="str">
        <x:v>fast</x:v>
      </x:c>
      <x:c r="B39" s="13" t="str">
        <x:v>Priorisierte Pflege</x:v>
      </x:c>
      <x:c r="C39" s="13" t="str">
        <x:v>Nice to have</x:v>
      </x:c>
      <x:c r="D39" s="14" t="n">
        <x:v>2500</x:v>
      </x:c>
      <x:c r="E39" s="17" t="str">
        <x:v>Zusätzliche Kapazität für dringende Fehler.</x:v>
      </x:c>
      <x:c r="F39" s="17" t="str">
        <x:v>Zusätzlicher Pflege-Topf von ca. 2,6 Personentagen bis Monat 36. Priorisierung nach Vereinbarung; keine 24/7-Bereitschaft oder garantierte Reaktionszeit.</x:v>
      </x:c>
      <x:c r="G39" s="13" t="n">
        <x:v>36</x:v>
      </x:c>
      <x:c r="H39" s="13" t="str">
        <x:v>mittel</x:v>
      </x:c>
      <x:c r="I39" s="13" t="str">
        <x:v>Keine</x:v>
      </x:c>
      <x:c r="J39" s="13" t="str">
        <x:v>Ja</x:v>
      </x:c>
      <x:c r="K39" s="2" t="str"/>
      <x:c r="L39" s="2" t="n">
        <x:v>0</x:v>
      </x:c>
      <x:c r="M39" s="2" t="n">
        <x:v>0</x:v>
      </x:c>
      <x:c r="N39" s="2" t="n">
        <x:v>0</x:v>
      </x:c>
      <x:c r="O39" s="2" t="n">
        <x:v>0</x:v>
      </x:c>
      <x:c r="P39" s="2" t="str"/>
      <x:c r="Q39" s="2" t="str"/>
      <x:c r="R39" s="2" t="str">
        <x:v>Arbeitsleistung</x:v>
      </x:c>
      <x:c r="S39" s="10" t="n">
        <x:v>2.6041666666666665</x:v>
      </x:c>
      <x:c r="T39" s="11" t="n">
        <x:v>2000</x:v>
      </x:c>
    </x:row>
    <x:row r="40" ht="90" customHeight="1">
      <x:c r="A40" s="15" t="str">
        <x:v>web</x:v>
      </x:c>
      <x:c r="B40" s="15" t="str">
        <x:v>Projekt-Webauftritt</x:v>
      </x:c>
      <x:c r="C40" s="15" t="str">
        <x:v>Good to have</x:v>
      </x:c>
      <x:c r="D40" s="16" t="n">
        <x:v>5000</x:v>
      </x:c>
      <x:c r="E40" s="18" t="str">
        <x:v>Das Angebot verständlich vorstellen.</x:v>
      </x:c>
      <x:c r="F40" s="18" t="str">
        <x:v>Kleine Website mit bis zu vier Inhaltsbereichen, Partnerinformationen und Einstieg zur Lernapp. Texte und rechtliche Pflichtangaben vom Auftraggeber; Hosting separat.</x:v>
      </x:c>
      <x:c r="G40" s="15" t="n">
        <x:v>18</x:v>
      </x:c>
      <x:c r="H40" s="15" t="str">
        <x:v>mittel</x:v>
      </x:c>
      <x:c r="I40" s="15" t="str">
        <x:v>Keine</x:v>
      </x:c>
      <x:c r="J40" s="15" t="str">
        <x:v>Nein</x:v>
      </x:c>
      <x:c r="K40" s="2" t="str"/>
      <x:c r="L40" s="2" t="n">
        <x:v>0</x:v>
      </x:c>
      <x:c r="M40" s="2" t="n">
        <x:v>0</x:v>
      </x:c>
      <x:c r="N40" s="2" t="n">
        <x:v>1</x:v>
      </x:c>
      <x:c r="O40" s="2" t="n">
        <x:v>1</x:v>
      </x:c>
      <x:c r="P40" s="2" t="str"/>
      <x:c r="Q40" s="2" t="str"/>
      <x:c r="R40" s="2" t="str">
        <x:v>Arbeitsleistung</x:v>
      </x:c>
      <x:c r="S40" s="10" t="n">
        <x:v>5.208333333333333</x:v>
      </x:c>
      <x:c r="T40" s="11" t="n">
        <x:v>4000</x:v>
      </x:c>
    </x:row>
    <x:row r="41" ht="90" customHeight="1">
      <x:c r="A41" s="13" t="str">
        <x:v>extendedqa</x:v>
      </x:c>
      <x:c r="B41" s="13" t="str">
        <x:v>Intensive Langzeittests</x:v>
      </x:c>
      <x:c r="C41" s="13" t="str">
        <x:v>Nice to have</x:v>
      </x:c>
      <x:c r="D41" s="14" t="n">
        <x:v>12500</x:v>
      </x:c>
      <x:c r="E41" s="17" t="str">
        <x:v>Über mehrere Schulzyklen nachschärfen.</x:v>
      </x:c>
      <x:c r="F41" s="17" t="str">
        <x:v>Drei zusätzliche Feldtest-Auswertungen mit gezielten Verbesserungen. Aus der Miro-Idee „99 % optimiert“ wird ein klar begrenzter Testumfang; keine fehlerfreie Software zugesichert.</x:v>
      </x:c>
      <x:c r="G41" s="13" t="n">
        <x:v>30</x:v>
      </x:c>
      <x:c r="H41" s="13" t="str">
        <x:v>mittel</x:v>
      </x:c>
      <x:c r="I41" s="13" t="str">
        <x:v>Keine</x:v>
      </x:c>
      <x:c r="J41" s="13" t="str">
        <x:v>Nein</x:v>
      </x:c>
      <x:c r="K41" s="2" t="str"/>
      <x:c r="L41" s="2" t="n">
        <x:v>0</x:v>
      </x:c>
      <x:c r="M41" s="2" t="n">
        <x:v>0</x:v>
      </x:c>
      <x:c r="N41" s="2" t="n">
        <x:v>0</x:v>
      </x:c>
      <x:c r="O41" s="2" t="n">
        <x:v>0</x:v>
      </x:c>
      <x:c r="P41" s="2" t="str"/>
      <x:c r="Q41" s="2" t="str"/>
      <x:c r="R41" s="2" t="str">
        <x:v>Arbeitsleistung</x:v>
      </x:c>
      <x:c r="S41" s="10" t="n">
        <x:v>13.020833333333334</x:v>
      </x:c>
      <x:c r="T41" s="11" t="n">
        <x:v>10000</x:v>
      </x:c>
    </x:row>
  </x:sheetData>
  <x:pageMargins left="0.7" right="0.7" top="0.75" bottom="0.75" header="0.3" footer="0.3"/>
  <x:tableParts count="1">
    <x:tablePart xmlns:r="http://schemas.openxmlformats.org/officeDocument/2006/relationships" r:id="R48c0c7bb06f94f0a"/>
  </x:tableParts>
</x:worksheet>
</file>

<file path=xl/worksheets/sheet6.xml><?xml version="1.0" encoding="utf-8"?>
<x:worksheet xmlns:x="http://schemas.openxmlformats.org/spreadsheetml/2006/main">
  <x:sheetPr>
    <x:tabColor rgb="FF8199A1"/>
  </x:sheetPr>
  <x:sheetViews>
    <x:sheetView showGridLines="0" workbookViewId="0">
      <x:pane ySplit="6" topLeftCell="A7" activePane="bottomLeft" state="frozen"/>
    </x:sheetView>
  </x:sheetViews>
  <x:sheetFormatPr defaultRowHeight="15"/>
  <x:cols>
    <x:col min="1" max="1" width="31" hidden="0" customWidth="1"/>
    <x:col min="2" max="2" width="106" hidden="0" customWidth="1"/>
    <x:col min="3" max="3" width="83" hidden="0" customWidth="1"/>
    <x:col min="4" max="4" width="24" hidden="0" customWidth="1"/>
  </x:cols>
  <x:sheetData>
    <x:row r="1" ht="23" customHeight="1">
      <x:c r="A1" s="2"/>
      <x:c r="B1" s="2"/>
      <x:c r="C1" s="2"/>
      <x:c r="D1" s="2"/>
      <x:c r="E1" s="2"/>
      <x:c r="F1" s="2"/>
    </x:row>
    <x:row r="2" ht="30" customHeight="1">
      <x:c r="A2" s="3" t="str">
        <x:v>Methodik und Quellen</x:v>
      </x:c>
      <x:c r="B2" s="3"/>
      <x:c r="C2" s="3"/>
      <x:c r="D2" s="3"/>
      <x:c r="E2" s="3"/>
      <x:c r="F2" s="3"/>
    </x:row>
    <x:row r="3" ht="23" customHeight="1">
      <x:c r="A3" s="4"/>
      <x:c r="B3" s="4"/>
      <x:c r="C3" s="4"/>
      <x:c r="D3" s="4"/>
      <x:c r="E3" s="4"/>
      <x:c r="F3" s="4"/>
    </x:row>
    <x:row r="4" ht="23" customHeight="1">
      <x:c r="A4" s="2" t="str">
        <x:v>Aktives Paket</x:v>
      </x:c>
      <x:c r="B4" s="19" t="str">
        <x:f>'Budget'!B5</x:f>
        <x:v>Fundament</x:v>
      </x:c>
      <x:c r="C4" s="2"/>
      <x:c r="D4" s="2"/>
      <x:c r="E4" s="2"/>
      <x:c r="F4" s="2"/>
    </x:row>
    <x:row r="5" ht="23" customHeight="1">
      <x:c r="A5" s="2"/>
      <x:c r="B5" s="2"/>
      <x:c r="C5" s="2"/>
      <x:c r="D5" s="2"/>
      <x:c r="E5" s="2"/>
      <x:c r="F5" s="2"/>
    </x:row>
    <x:row r="6" ht="30" customHeight="1">
      <x:c r="A6" s="8" t="str">
        <x:v>Thema</x:v>
      </x:c>
      <x:c r="B6" s="8" t="str">
        <x:v>Erläuterung</x:v>
      </x:c>
      <x:c r="C6" s="2"/>
      <x:c r="D6" s="2"/>
      <x:c r="E6" s="2"/>
      <x:c r="F6" s="2"/>
    </x:row>
    <x:row r="7" ht="96" customHeight="1">
      <x:c r="A7" s="17" t="str">
        <x:v>Schätzung und Zielworkshop</x:v>
      </x:c>
      <x:c r="B7" s="17" t="str">
        <x:v>Die Zahlen geben ein erstes Gefühl für die Größenordnung der Kosten. Sie sind grobe Schätzungen auf Basis unseres bisherigen Projektverständnisses, keine festen Modulpreise oder Budgetzusagen und kein verbindliches Angebot. Detailreichtum, Qualitätsniveau, Umsetzungstiefe und technischer Umfang werden im gemeinsamen Zielworkshop besprochen. Erst aus den konkret vereinbarten Zielen, Anforderungen und Leistungsumfängen wird die Kalkulation geschärft. Dabei können Module entfallen, angepasst oder ergänzt werden; entsprechend können sich einzelne Richtwerte und die Gesamtkosten ändern.</x:v>
      </x:c>
      <x:c r="C7" s="2"/>
      <x:c r="D7" s="2"/>
      <x:c r="E7" s="2"/>
      <x:c r="F7" s="2"/>
    </x:row>
    <x:row r="8" ht="66" customHeight="1">
      <x:c r="A8" s="18" t="str">
        <x:v>Steuerdarstellung</x:v>
      </x:c>
      <x:c r="B8" s="18" t="str">
        <x:v>19 % Umsatzsteuer als Kalkulationsannahme. Netto = Brutto / 1,19. Die ausgewiesene Steuer ist die Differenz. Die Modulpreise bleiben brutto; die Steuer wird nicht nochmals aufgeschlagen.</x:v>
      </x:c>
      <x:c r="C8" s="2"/>
      <x:c r="D8" s="2"/>
      <x:c r="E8" s="2"/>
      <x:c r="F8" s="2"/>
    </x:row>
    <x:row r="9" ht="66" customHeight="1">
      <x:c r="A9" s="17" t="str">
        <x:v>Aufwand und Rabatt</x:v>
      </x:c>
      <x:c r="B9" s="17" t="str">
        <x:v>Vorläufige Planungswerte für drei Jahre nach 20 % Rabatt. Interne Arbeit: regulärer Vergleichswert = Richtwert / 0,8; rechnerische Budgetkapazität in PT = Vergleichswert / 960 €. Diese PT sind keine Aufwandsschätzung und keine Leistungszusage. Staffel: 1 Jahr 5 % / 912 €, 2 Jahre 10 % / 864 €, 3 Jahre 20 % / 768 € brutto/PT; ein PT = 8 Stunden. Andere Rabatte in B9 dienen nur dem Vergleich. Ziele, Qualität, Umfang und Laufzeit sind gemeinsam abzustimmen.</x:v>
      </x:c>
      <x:c r="C9" s="2"/>
      <x:c r="D9" s="2"/>
      <x:c r="E9" s="2"/>
      <x:c r="F9" s="2"/>
    </x:row>
    <x:row r="10" ht="100" customHeight="1">
      <x:c r="A10" s="18" t="str">
        <x:v>Fundament: Orientierung</x:v>
      </x:c>
      <x:c r="B10" s="18" t="str">
        <x:v>11 als Grundlage vorgesehene Module ergeben einen vorläufigen Orientierungsrahmen von 200.000 € brutto bei drei Jahren und 20 % Rabatt. Die vier Referenzpakete rechnen mit Richtwerten von 200.000, 280.000, 364.000 und 400.000 € brutto. Good to have komplett berücksichtigt auch den Webauftritt. Detailreichtum, Qualitätsniveau, Umsetzungstiefe und technischer Umfang werden im Zielworkshop konkretisiert und die Kalkulation anschließend angepasst.
Fragen zum Fundament? Falls wir etwas missverstanden haben oder eine Komponente für euch nicht nachvollziehbar ist, meldet euch gerne. Wir klären den Bedarf gemeinsam und passen die Planungsgrundlage bei Bedarf an.</x:v>
      </x:c>
      <x:c r="C10" s="2"/>
      <x:c r="D10" s="2"/>
      <x:c r="E10" s="2"/>
      <x:c r="F10" s="2"/>
    </x:row>
    <x:row r="11" ht="66" customHeight="1">
      <x:c r="A11" s="17" t="str">
        <x:v>Modulauswahl</x:v>
      </x:c>
      <x:c r="B11" s="17" t="str">
        <x:v>Paket übernimmt die aktuelle Vorgabe. Ja ergänzt ein Modul. Nein entfernt es, sofern kein anderes ausgewähltes Modul darauf angewiesen ist. Bei Paketwechsel bleiben individuelle Ja/Nein-Entscheidungen erhalten. Für eine reine Paketansicht alle optionalen Felder wieder auf Paket setzen.</x:v>
      </x:c>
      <x:c r="C11" s="2"/>
      <x:c r="D11" s="2"/>
      <x:c r="E11" s="2"/>
      <x:c r="F11" s="2"/>
    </x:row>
    <x:row r="12" ht="66" customHeight="1">
      <x:c r="A12" s="18" t="str">
        <x:v>Voraussetzungen und Bündel</x:v>
      </x:c>
      <x:c r="B12" s="18" t="str">
        <x:v>Benötigte Voraussetzungen werden automatisch ergänzt. Zum Beispiel braucht Steam &amp; Steam Deck die installierbare Desktop-Version. Jede Voraussetzung wird nur einmal berechnet. Ein Nein wird sichtbar übersteuert, wenn das Modul benötigt wird. Zusammengehörige Leistungen sind als ein Modul gebündelt; der Leistungskatalog bewahrt ihre vollständigen Teilumfänge.</x:v>
      </x:c>
      <x:c r="C12" s="2"/>
      <x:c r="D12" s="2"/>
      <x:c r="E12" s="2"/>
      <x:c r="F12" s="2"/>
    </x:row>
    <x:row r="13" ht="138" customHeight="1">
      <x:c r="A13" s="17" t="str">
        <x:v>Zeitplan</x:v>
      </x:c>
      <x:c r="B13" s="17" t="str">
        <x:v>Orientierung für die Entwicklung: Fundament 18–24 Monate, Good to have Auswahl ca. 24 Monate, Good to have komplett ca. 30 Monate und Nice to have Auswahl ca. 36 Monate. Playtesting &amp; Maintenance kommen zusätzlich hinzu; ihre Dauer bleibt offen. Es ist keine feste Gesamtprojektlaufzeit zugesagt. Für freie Auswahl werden die derzeitigen Planungswerte aller gewählten, nicht laufenden Module einschließlich Mischkosten als Gewichte verwendet. Zwischen den vier Referenzen wird linear interpoliert, darüber mit der letzten Spanne extrapoliert. Diese Gewichtung ist keine belegte Stunden- oder Aufwandsschätzung. Rabattvergleiche und eigene Ideen verändern die Spanne nicht. Der bisherige Rechenansatz für Pflege bis Monat 36 bleibt unverändert; Dauer und Leistungsumfang einschließlich möglicher Verlängerung sind separat abzustimmen.</x:v>
      </x:c>
      <x:c r="C13" s="2"/>
      <x:c r="D13" s="2"/>
      <x:c r="E13" s="2"/>
      <x:c r="F13" s="2"/>
    </x:row>
    <x:row r="14" ht="66" customHeight="1">
      <x:c r="A14" s="18" t="str">
        <x:v>Pflege und Fremdkosten</x:v>
      </x:c>
      <x:c r="B14" s="18" t="str">
        <x:v>Unaufgeteilte Mischkosten-Richtwerte bleiben bis zur Trennung von interner Arbeit und Fremdleistungen rechnerisch unverändert und erhalten keinen pauschalen Rabatt. Auch Pflegeansätze sind eine vorläufige Kostenorientierung. Konkrete Leistungen, Qualitätsniveau und externe Kosten für Hosting, Konten, Hardware, Beratung oder Lizenzen werden im Workshop und in der anschließenden Kalkulation geklärt.</x:v>
      </x:c>
      <x:c r="C14" s="2"/>
      <x:c r="D14" s="2"/>
      <x:c r="E14" s="2"/>
      <x:c r="F14" s="2"/>
    </x:row>
    <x:row r="15" ht="66" customHeight="1">
      <x:c r="A15" s="17" t="str">
        <x:v>Zukunftsideen</x:v>
      </x:c>
      <x:c r="B15" s="17" t="str">
        <x:v>Cherry-on-top-Ideen werden im Blatt „Zukunftsideen“ nur als langfristiges Interesse vorgemerkt. Preis nach Klärung. Sie gehören weder zum aktuellen Auftrag noch zur Modulanzahl, Kalkulation oder Terminplanung und lösen keine Voraussetzungen aus. Ein Paketwechsel erhält diese Interessen.</x:v>
      </x:c>
      <x:c r="C15" s="2"/>
      <x:c r="D15" s="2"/>
      <x:c r="E15" s="2"/>
      <x:c r="F15" s="2"/>
    </x:row>
    <x:row r="16" ht="66" customHeight="1">
      <x:c r="A16" s="18" t="str">
        <x:v>Zusammenarbeit</x:v>
      </x:c>
      <x:c r="B16" s="18" t="str">
        <x:v>Vorschlag: LAV als Projektträger und Freigabestelle, ANGELNmachtSCHULE als Fachteam, PlayInsight Studios für Konzeption und Umsetzung. Laut Projektgespräch ist regelmäßige Mitarbeit einer AmS-Ansprechperson vorgesehen; Person, Zeitbudget und Freigaberechte sind noch abzustimmen.</x:v>
      </x:c>
      <x:c r="C16" s="2"/>
      <x:c r="D16" s="2"/>
      <x:c r="E16" s="2"/>
      <x:c r="F16" s="2"/>
    </x:row>
    <x:row r="17" ht="66" customHeight="1">
      <x:c r="A17" s="17" t="str">
        <x:v>Rechte und Freigaben</x:v>
      </x:c>
      <x:c r="B17" s="17" t="str">
        <x:v>Der LAV bzw. das Fachteam stellt abgestimmte, nutzbare Lerninhalte und Fragen bereit. Die konkrete Verantwortung für Rechte, Prüfungsinhalte, Datenschutz und Abnahmen wird beim Kick-off festgelegt.</x:v>
      </x:c>
      <x:c r="C17" s="2"/>
      <x:c r="D17" s="2"/>
      <x:c r="E17" s="2"/>
      <x:c r="F17" s="2"/>
    </x:row>
    <x:row r="18" ht="110" customHeight="1">
      <x:c r="A18" s="18" t="str">
        <x:v>Meilensteine und Anpassungen</x:v>
      </x:c>
      <x:c r="B18" s="18" t="str">
        <x:v>An jedem Meilenstein vergleichen wir den tatsächlichen Projektstand mit der Planung. Bei Abweichungen stimmen wir gemeinsam ab, ob Prioritäten, Anzahl oder Umsetzungstiefe der Module angepasst werden. Freie Kapazität kann nach gemeinsamer Abstimmung für zusätzliche Module genutzt werden. Dabei berücksichtigen wir auch unvorhergesehene Anforderungen und Aufwände; freie Zeit wird nicht automatisch vollständig verplant. Änderungen an Umfang, Budget und Zeitplan werden transparent festgehalten und gemeinsam freigegeben.</x:v>
      </x:c>
      <x:c r="C18" s="2"/>
      <x:c r="D18" s="2"/>
      <x:c r="E18" s="2"/>
      <x:c r="F18" s="2"/>
    </x:row>
    <x:row r="19" ht="23" customHeight="1">
      <x:c r="A19" s="50" t="str">
        <x:v>Quellen und Einordnung</x:v>
      </x:c>
      <x:c r="B19" s="2"/>
      <x:c r="C19" s="2"/>
      <x:c r="D19" s="2"/>
      <x:c r="E19" s="2"/>
      <x:c r="F19" s="2"/>
    </x:row>
    <x:row r="20" ht="30" customHeight="1">
      <x:c r="A20" s="8" t="str">
        <x:v>Quelle</x:v>
      </x:c>
      <x:c r="B20" s="8" t="str">
        <x:v>URL</x:v>
      </x:c>
      <x:c r="C20" s="8" t="str">
        <x:v>Wofür verwendet</x:v>
      </x:c>
      <x:c r="D20" s="2"/>
      <x:c r="E20" s="2"/>
      <x:c r="F20" s="2"/>
    </x:row>
    <x:row r="21" ht="42" customHeight="1">
      <x:c r="A21" s="15" t="str">
        <x:v>LAV · ANGELNmachtSCHULE</x:v>
      </x:c>
      <x:c r="B21" s="15" t="str">
        <x:v>https://www.lav-mv.de/angelnmachtschule/</x:v>
      </x:c>
      <x:c r="C21" s="15" t="str">
        <x:v>Projektträger, Zielgruppe und fachlicher Auftrag.</x:v>
      </x:c>
      <x:c r="D21" s="2"/>
      <x:c r="E21" s="2"/>
      <x:c r="F21" s="2"/>
    </x:row>
    <x:row r="22" ht="42" customHeight="1">
      <x:c r="A22" s="15" t="str">
        <x:v>PlayInsight Studios · Leistungen</x:v>
      </x:c>
      <x:c r="B22" s="15" t="str">
        <x:v>https://playinsightstudios.com/services/</x:v>
      </x:c>
      <x:c r="C22" s="15" t="str">
        <x:v>Leistungsspektrum des Studios; keine Bestätigung dieser Modulpreise.</x:v>
      </x:c>
      <x:c r="D22" s="2"/>
      <x:c r="E22" s="2"/>
      <x:c r="F22" s="2"/>
    </x:row>
    <x:row r="23" ht="42" customHeight="1">
      <x:c r="A23" s="15" t="str">
        <x:v>PlayInsight Studios · Impressum</x:v>
      </x:c>
      <x:c r="B23" s="15" t="str">
        <x:v>https://playinsightstudios.com/impressum/</x:v>
      </x:c>
      <x:c r="C23" s="15" t="str">
        <x:v>Unternehmensname und Sitz.</x:v>
      </x:c>
      <x:c r="D23" s="2"/>
      <x:c r="E23" s="2"/>
      <x:c r="F23" s="2"/>
    </x:row>
    <x:row r="24" ht="42" customHeight="1">
      <x:c r="A24" s="15" t="str">
        <x:v>Freelancermap · IT-Stundensätze</x:v>
      </x:c>
      <x:c r="B24" s="15" t="str">
        <x:v>https://www.freelancermap.de/blog/stundensatz-it-freelancer/</x:v>
      </x:c>
      <x:c r="C24" s="15" t="str">
        <x:v>Orientierung am Freelancer-Markt, kein Studio-Angebot.</x:v>
      </x:c>
      <x:c r="D24" s="2"/>
      <x:c r="E24" s="2"/>
      <x:c r="F24" s="2"/>
    </x:row>
    <x:row r="25" ht="42" customHeight="1">
      <x:c r="A25" s="15" t="str">
        <x:v>UStG § 12</x:v>
      </x:c>
      <x:c r="B25" s="15" t="str">
        <x:v>https://www.gesetze-im-internet.de/ustg_1980/__12.html</x:v>
      </x:c>
      <x:c r="C25" s="15" t="str">
        <x:v>19 % Regelsteuersatz als Kalkulationsannahme.</x:v>
      </x:c>
      <x:c r="D25" s="2"/>
      <x:c r="E25" s="2"/>
      <x:c r="F25" s="2"/>
    </x:row>
    <x:row r="26" ht="42" customHeight="1">
      <x:c r="A26" s="15" t="str">
        <x:v>Unity · Web-Browser-Kompatibilität</x:v>
      </x:c>
      <x:c r="B26" s="15" t="str">
        <x:v>https://docs.unity3d.com/6000.0/Documentation/Manual/webgl-browsercompatibility.html</x:v>
      </x:c>
      <x:c r="C26" s="15" t="str">
        <x:v>Browser- und Zielgeräteprüfung als frühes Projektrisiko.</x:v>
      </x:c>
      <x:c r="D26" s="2"/>
      <x:c r="E26" s="2"/>
      <x:c r="F26" s="2"/>
    </x:row>
    <x:row r="27" ht="42" customHeight="1">
      <x:c r="A27" s="15" t="str">
        <x:v>1EdTech · LTI 1.3</x:v>
      </x:c>
      <x:c r="B27" s="15" t="str">
        <x:v>https://www.imsglobal.org/spec/lti/v1p3/</x:v>
      </x:c>
      <x:c r="C27" s="15" t="str">
        <x:v>Umfang der Lernplattform-Integration.</x:v>
      </x:c>
      <x:c r="D27" s="2"/>
      <x:c r="E27" s="2"/>
      <x:c r="F27" s="2"/>
    </x:row>
    <x:row r="28" ht="23" customHeight="1">
      <x:c r="A28" s="2"/>
      <x:c r="B28" s="2"/>
      <x:c r="C28" s="2"/>
      <x:c r="D28" s="2"/>
      <x:c r="E28" s="2"/>
      <x:c r="F28" s="2"/>
    </x:row>
    <x:row r="29" ht="23" customHeight="1">
      <x:c r="A29" s="50" t="str">
        <x:v>Ursprünglicher Ablauf – im Workshop neu abstimmen</x:v>
      </x:c>
      <x:c r="B29" s="2"/>
      <x:c r="C29" s="2"/>
      <x:c r="D29" s="2"/>
      <x:c r="E29" s="2"/>
      <x:c r="F29" s="2"/>
    </x:row>
    <x:row r="30" ht="30" customHeight="1">
      <x:c r="A30" s="8" t="str">
        <x:v>Monat ab Start</x:v>
      </x:c>
      <x:c r="B30" s="8" t="str">
        <x:v>Meilenstein</x:v>
      </x:c>
      <x:c r="C30" s="8" t="str">
        <x:v>Vorgesehener Stand</x:v>
      </x:c>
      <x:c r="D30" s="2"/>
      <x:c r="E30" s="2"/>
      <x:c r="F30" s="2"/>
    </x:row>
    <x:row r="31" ht="69" customHeight="1">
      <x:c r="A31" s="15" t="n">
        <x:v>0</x:v>
      </x:c>
      <x:c r="B31" s="15" t="str">
        <x:v>Gemeinsam starten</x:v>
      </x:c>
      <x:c r="C31" s="15" t="str">
        <x:v>Kick-off, Lernziele, Zuständigkeiten und verfügbare Inhalte festlegen. Rechte, Datenschutz und Zielgeräte klären.</x:v>
      </x:c>
      <x:c r="D31" s="2"/>
      <x:c r="E31" s="2"/>
      <x:c r="F31" s="2"/>
    </x:row>
    <x:row r="32" ht="69" customHeight="1">
      <x:c r="A32" s="15" t="n">
        <x:v>3</x:v>
      </x:c>
      <x:c r="B32" s="15" t="str">
        <x:v>Konzept &amp; spielbarer Ausschnitt</x:v>
      </x:c>
      <x:c r="C32" s="15" t="str">
        <x:v>Lern- und Technikkonzept abgestimmt. Eine spielbare Lernschleife wird mit dem Fachteam und auf Zielgeräten überprüft.</x:v>
      </x:c>
      <x:c r="D32" s="2"/>
      <x:c r="E32" s="2"/>
      <x:c r="F32" s="2"/>
    </x:row>
    <x:row r="33" ht="69" customHeight="1">
      <x:c r="A33" s="15" t="n">
        <x:v>6</x:v>
      </x:c>
      <x:c r="B33" s="15" t="str">
        <x:v>Alpha im kleinen Kreis</x:v>
      </x:c>
      <x:c r="C33" s="15" t="str">
        <x:v>Lernkern, Konten und Datenbasis stehen zur Erprobung bereit. Der erste Lernort verbindet Angeln, Wissen und Fortschritt.</x:v>
      </x:c>
      <x:c r="D33" s="2"/>
      <x:c r="E33" s="2"/>
      <x:c r="F33" s="2"/>
    </x:row>
    <x:row r="34" ht="69" customHeight="1">
      <x:c r="A34" s="15" t="n">
        <x:v>9</x:v>
      </x:c>
      <x:c r="B34" s="15" t="str">
        <x:v>Pilot im Ganztagsangebot</x:v>
      </x:c>
      <x:c r="C34" s="15" t="str">
        <x:v>Dozierende und Lernende erproben den Lernkern, persönliche Lernstände und die Bedienung auf Handys und Schul-Tablets. Die Browser-Demo wird als eigener kurzer Einstieg geprüft.</x:v>
      </x:c>
      <x:c r="D34" s="2"/>
      <x:c r="E34" s="2"/>
      <x:c r="F34" s="2"/>
    </x:row>
    <x:row r="35" ht="69" customHeight="1">
      <x:c r="A35" s="15" t="n">
        <x:v>12</x:v>
      </x:c>
      <x:c r="B35" s="15" t="str">
        <x:v>Lernkern &amp; Inhalte weiterentwickeln</x:v>
      </x:c>
      <x:c r="C35" s="15" t="str">
        <x:v>Lernorte, Fischlexikon und Prüfungsvorbereitung wachsen. Rückmeldungen aus den Ganztagskursen fließen in die nächste Iteration ein; eine vollständige Basisveröffentlichung ist für diesen Zeitpunkt noch nicht zugesagt.</x:v>
      </x:c>
      <x:c r="D35" s="2"/>
      <x:c r="E35" s="2"/>
      <x:c r="F35" s="2"/>
    </x:row>
    <x:row r="36" ht="69" customHeight="1">
      <x:c r="A36" s="15" t="n">
        <x:v>18</x:v>
      </x:c>
      <x:c r="B36" s="15" t="str">
        <x:v>Fundament: erstes Abschlussfenster</x:v>
      </x:c>
      <x:c r="C36" s="15" t="str">
        <x:v>Die Entwicklung des Fundaments wird grob zwischen Monat 18 und 24 eingeordnet. Playtests, Polishing und offene Aufgaben gemeinsam bewerten; zusätzlicher Zeitbedarf bleibt möglich.</x:v>
      </x:c>
      <x:c r="D36" s="2"/>
      <x:c r="E36" s="2"/>
      <x:c r="F36" s="2"/>
    </x:row>
    <x:row r="37" ht="69" customHeight="1">
      <x:c r="A37" s="15" t="n">
        <x:v>24</x:v>
      </x:c>
      <x:c r="B37" s="15" t="str">
        <x:v>Fundament / Good-to-have-Auswahl</x:v>
      </x:c>
      <x:c r="C37" s="15" t="str">
        <x:v>Oberes Entwicklungsfenster des Fundaments und grobe Entwicklungsorientierung für die Good-to-have-Auswahl. Größere Pakete werden weiterentwickelt; zusätzliche Erprobung und Maintenance separat abstimmen.</x:v>
      </x:c>
      <x:c r="D37" s="2"/>
      <x:c r="E37" s="2"/>
      <x:c r="F37" s="2"/>
    </x:row>
    <x:row r="38" ht="69" customHeight="1">
      <x:c r="A38" s="15" t="n">
        <x:v>30</x:v>
      </x:c>
      <x:c r="B38" s="15" t="str">
        <x:v>Good-to-have-Komplett: Entwicklungsziel</x:v>
      </x:c>
      <x:c r="C38" s="15" t="str">
        <x:v>Für das vollständige Good-to-have-Paket sind grob zweieinhalb Jahre Entwicklung vorgesehen. Die umfangreichere Nice-to-have-Auswahl läuft voraussichtlich weiter; Feedback und offene Punkte werden gemeinsam priorisiert.</x:v>
      </x:c>
      <x:c r="D38" s="2"/>
      <x:c r="E38" s="2"/>
      <x:c r="F38" s="2"/>
    </x:row>
    <x:row r="39" ht="69" customHeight="1">
      <x:c r="A39" s="15" t="n">
        <x:v>36</x:v>
      </x:c>
      <x:c r="B39" s="15" t="str">
        <x:v>Nice-to-have-Auswahl &amp; Anschlussplanung</x:v>
      </x:c>
      <x:c r="C39" s="15" t="str">
        <x:v>Die Nice-to-have-Auswahl erreicht grob nach drei Jahren ihr Entwicklungsziel. Playtesting, Polishing und Maintenance können darüber hinausreichen. Zusätzliche Dauer und Betreuung sowie die bisher bis Monat 36 kalkulierten Kontingente gemeinsam abstimmen.</x:v>
      </x:c>
      <x:c r="D39" s="2"/>
      <x:c r="E39" s="2"/>
      <x:c r="F39" s="2"/>
    </x:row>
    <x:row r="40" ht="23" customHeight="1">
      <x:c r="A40" s="2"/>
      <x:c r="B40" s="2"/>
      <x:c r="C40" s="2"/>
      <x:c r="D40" s="2"/>
      <x:c r="E40" s="2"/>
      <x:c r="F40" s="2"/>
    </x:row>
    <x:row r="41" ht="23" customHeight="1">
      <x:c r="A41" s="50" t="str">
        <x:v>Projektverständnis</x:v>
      </x:c>
      <x:c r="B41" s="2"/>
      <x:c r="C41" s="2"/>
      <x:c r="D41" s="2"/>
      <x:c r="E41" s="2"/>
      <x:c r="F41" s="2"/>
    </x:row>
    <x:row r="42" ht="70" customHeight="1">
      <x:c r="A42" s="18" t="str">
        <x:v>Pädagogischer Rahmen</x:v>
      </x:c>
      <x:c r="B42" s="18" t="str">
        <x:v>Dozentengeleitetes Ganztagsschulangebot rund um Angeln und die Vorbereitung auf die Fischereischeinprüfung, überwiegend für die 5. und 6. Klasse in Mecklenburg-Vorpommern. Das bisher analoge Angebot wird digital ergänzt und an die Lebenswelt der Schülerinnen und Schüler angepasst.</x:v>
      </x:c>
      <x:c r="C42" s="2"/>
      <x:c r="D42" s="2"/>
      <x:c r="E42" s="2"/>
      <x:c r="F42" s="2"/>
    </x:row>
    <x:row r="43" ht="70" customHeight="1">
      <x:c r="A43" s="18" t="str">
        <x:v>Mobile Hauptapp und Konten</x:v>
      </x:c>
      <x:c r="B43" s="18" t="str">
        <x:v>Bevorzugtes Zielbild ist eine mobile Hauptapp für Handys und Schultablets, auch für selbstständiges Lernen zu Hause. Persönliche Nutzerkonten sollen es ermöglichen, den eigenen Lernfortschritt fortzusetzen. Eine vollständige Offline-Nutzung ist damit noch nicht zugesagt.</x:v>
      </x:c>
      <x:c r="C43" s="2"/>
      <x:c r="D43" s="2"/>
      <x:c r="E43" s="2"/>
      <x:c r="F43" s="2"/>
    </x:row>
    <x:row r="44" ht="70" customHeight="1">
      <x:c r="A44" s="18" t="str">
        <x:v>Browser-Einstieg und Plattformen</x:v>
      </x:c>
      <x:c r="B44" s="18" t="str">
        <x:v>Eine etwa 15-minütige Browserdemo auf der Website bietet einen schnellen Einstieg in die App und weckt Interesse am Ganztagsangebot. Eine installierbare PC-Version ist optional. Eine vollständige Browserlösung mit nachladenden Mini-Levels wird als Alternative im Zielworkshop geprüft.</x:v>
      </x:c>
      <x:c r="C44" s="2"/>
      <x:c r="D44" s="2"/>
      <x:c r="E44" s="2"/>
      <x:c r="F44" s="2"/>
    </x:row>
    <x:row r="45" ht="70" customHeight="1">
      <x:c r="A45" s="18" t="str">
        <x:v>Offene Plattform-Zuordnung</x:v>
      </x:c>
      <x:c r="B45" s="18" t="str">
        <x:v>Die bisherigen Planungswerte und Modulzuordnungen bleiben vorläufig unverändert. Smartphone-Bedienung, native Apps und Store-Betreuung sind noch nicht als mobile Basis des Fundaments bestätigt. Die Zuordnung zum Fundament, Ziele, Architektur und Budgetaufteilung werden im gemeinsamen Zielworkshop geklärt.</x:v>
      </x:c>
      <x:c r="C45" s="2"/>
      <x:c r="D45" s="2"/>
      <x:c r="E45" s="2"/>
      <x:c r="F45" s="2"/>
    </x:row>
    <x:row r="46" ht="120" customHeight="1">
      <x:c r="A46" s="18" t="str">
        <x:v>Lernebenen und Spielablauf</x:v>
      </x:c>
      <x:c r="B46" s="18" t="str">
        <x:v>Zwei verbundene Ebenen: ein Adventure entlang eines Flusses in Mecklenburg-Vorpommern, etwa der Warnow und ihrer Fischregionen, sowie eine unabhängig zugängliche Lernbasis mit Lehrordner, Arbeitsblättern, Themensuche, Wiederholung und Prüfungsvorbereitung. Inhalte lassen sich auch bei Ausfall oder Abwesenheit nachholen. Der Spielablauf führt von der Karte in die 3D-Welt, zur Ausrüstungswahl und zum Angel-Minispiel, anschließend zu Fischbestimmung und Quiz sowie Lexikon und gespeichertem Fortschritt. Naturschutz und Nachhaltigkeit werden durch Entscheidungen im Spiel aufgegriffen.</x:v>
      </x:c>
      <x:c r="C46" s="2"/>
      <x:c r="D46" s="2"/>
      <x:c r="E46" s="2"/>
      <x:c r="F46" s="2"/>
    </x:row>
    <x:row r="47" ht="66" customHeight="1">
      <x:c r="A47" s="18" t="str">
        <x:v>Eigene Ideen und Anmerkungen</x:v>
      </x:c>
      <x:c r="B47" s="18" t="str">
        <x:v>Im Blatt „Eigene Ideen“ stehen zehn freie Zeilen für Titel und Anmerkungen bereit. Diese Einträge bleiben bei Paketwechseln erhalten und beeinflussen weder Kosten noch Modulanzahl, Voraussetzungen oder Termine. Ihre Konkretisierung erfolgt gemeinsam im Zielworkshop.</x:v>
      </x:c>
      <x:c r="C47" s="2"/>
      <x:c r="D47" s="2"/>
      <x:c r="E47" s="2"/>
      <x:c r="F47" s="2"/>
    </x:row>
    <x:row r="48" ht="90" customHeight="1">
      <x:c r="A48" s="18" t="str">
        <x:v>Geplanter Förderrahmen</x:v>
      </x:c>
      <x:c r="B48" s="18" t="str">
        <x:v>Für den Förderantrag ist der Zeitraum Juli 2027 bis Juli 2030 vorgesehen; eine Bewilligung liegt damit noch nicht vor. Die ca. 36 Monate Entwicklung des Nice-to-have-Pakets zuzüglich der noch offenen Zeit für Playtesting und Maintenance müssen mit diesem Förderrahmen abgeglichen werden. Dieser Abgleich und eine mögliche Aufteilung in Entwicklungsphasen bleiben offen.</x:v>
      </x:c>
      <x:c r="C48" s="2"/>
      <x:c r="D48" s="2"/>
      <x:c r="E48" s="2"/>
      <x:c r="F48" s="2"/>
    </x:row>
    <x:row r="49" ht="23" customHeight="1">
      <x:c r="A49" s="50" t="str">
        <x:v>Referenzen für die Entwicklungsspanne</x:v>
      </x:c>
      <x:c r="B49" s="2"/>
      <x:c r="C49" s="2"/>
      <x:c r="D49" s="2"/>
      <x:c r="E49" s="2"/>
      <x:c r="F49" s="2"/>
    </x:row>
    <x:row r="50" ht="30" customHeight="1">
      <x:c r="A50" s="8" t="str">
        <x:v>Referenzpaket</x:v>
      </x:c>
      <x:c r="B50" s="8" t="str">
        <x:v>Zeitgewicht aus Planungswerten</x:v>
      </x:c>
      <x:c r="C50" s="8" t="str">
        <x:v>Untergrenze Monate</x:v>
      </x:c>
      <x:c r="D50" s="8" t="str">
        <x:v>Obergrenze Monate</x:v>
      </x:c>
      <x:c r="E50" s="2"/>
      <x:c r="F50" s="2"/>
    </x:row>
    <x:row r="51" ht="30" customHeight="1">
      <x:c r="A51" s="15" t="str">
        <x:v>Fundament</x:v>
      </x:c>
      <x:c r="B51" s="15" t="n">
        <x:v>172</x:v>
      </x:c>
      <x:c r="C51" s="15" t="n">
        <x:v>18</x:v>
      </x:c>
      <x:c r="D51" s="15" t="n">
        <x:v>24</x:v>
      </x:c>
      <x:c r="E51" s="2"/>
      <x:c r="F51" s="2"/>
    </x:row>
    <x:row r="52" ht="30" customHeight="1">
      <x:c r="A52" s="15" t="str">
        <x:v>Good to have · Auswahl</x:v>
      </x:c>
      <x:c r="B52" s="15" t="n">
        <x:v>252</x:v>
      </x:c>
      <x:c r="C52" s="15" t="n">
        <x:v>24</x:v>
      </x:c>
      <x:c r="D52" s="15" t="n">
        <x:v>24</x:v>
      </x:c>
      <x:c r="E52" s="2"/>
      <x:c r="F52" s="2"/>
    </x:row>
    <x:row r="53" ht="30" customHeight="1">
      <x:c r="A53" s="15" t="str">
        <x:v>Good to have · Komplett</x:v>
      </x:c>
      <x:c r="B53" s="15" t="n">
        <x:v>336</x:v>
      </x:c>
      <x:c r="C53" s="15" t="n">
        <x:v>30</x:v>
      </x:c>
      <x:c r="D53" s="15" t="n">
        <x:v>30</x:v>
      </x:c>
      <x:c r="E53" s="2"/>
      <x:c r="F53" s="2"/>
    </x:row>
    <x:row r="54" ht="30" customHeight="1">
      <x:c r="A54" s="15" t="str">
        <x:v>Nice to have · Auswahl</x:v>
      </x:c>
      <x:c r="B54" s="15" t="n">
        <x:v>372</x:v>
      </x:c>
      <x:c r="C54" s="15" t="n">
        <x:v>36</x:v>
      </x:c>
      <x:c r="D54" s="15" t="n">
        <x:v>36</x:v>
      </x:c>
      <x:c r="E54" s="2"/>
      <x:c r="F54" s="2"/>
    </x:row>
    <x:row r="55" ht="23" customHeight="1">
      <x:c r="A55" s="2"/>
      <x:c r="B55" s="2"/>
      <x:c r="C55" s="2"/>
      <x:c r="D55" s="2"/>
      <x:c r="E55" s="2"/>
      <x:c r="F55" s="2"/>
    </x:row>
    <x:row r="56" ht="85" customHeight="1">
      <x:c r="A56" s="18" t="str">
        <x:v>Rechenregel</x:v>
      </x:c>
      <x:c r="B56" s="18" t="str">
        <x:v>Das Zeitgewicht addiert die derzeitigen Planungswerte der ausgewählten, nicht laufenden Module einschließlich Mischkosten und teilt sie durch 1.000. Stückweise lineare Interpolation zwischen den Referenzen; darüber Extrapolation mit der letzten Spanne. Die Untergrenze wird auf volle Monate abgerundet, mindestens 18 Monate. Die Obergrenze wird aufgerundet. Zukunftsideen und eigene Anmerkungen haben kein Gewicht. Die Basiswerte sind keine festen Preis- oder Leistungszusagen.</x:v>
      </x:c>
      <x:c r="C56" s="2"/>
      <x:c r="D56" s="2"/>
      <x:c r="E56" s="2"/>
      <x:c r="F56" s="2"/>
    </x:row>
    <x:row r="57" ht="23" customHeight="1">
      <x:c r="A57" s="2"/>
      <x:c r="B57" s="2"/>
      <x:c r="C57" s="2"/>
      <x:c r="D57" s="2"/>
      <x:c r="E57" s="2"/>
      <x:c r="F57" s="2"/>
    </x:row>
    <x:row r="58" ht="23" customHeight="1">
      <x:c r="A58" s="2"/>
      <x:c r="B58" s="2"/>
      <x:c r="C58" s="2"/>
      <x:c r="D58" s="2"/>
      <x:c r="E58" s="2"/>
      <x:c r="F58" s="2"/>
    </x:row>
    <x:row r="59" ht="23" customHeight="1">
      <x:c r="A59" s="2"/>
      <x:c r="B59" s="2"/>
      <x:c r="C59" s="2"/>
      <x:c r="D59" s="2"/>
      <x:c r="E59" s="2"/>
      <x:c r="F59" s="2"/>
    </x:row>
  </x:sheetData>
  <x:pageMargins left="0.7" right="0.7" top="0.75" bottom="0.75" header="0.3" footer="0.3"/>
</x:worksheet>
</file>